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出库表" sheetId="2" r:id="rId1"/>
    <sheet name="Sheet1" sheetId="3" r:id="rId2"/>
    <sheet name="Sheet2" sheetId="4" r:id="rId3"/>
    <sheet name="Sheet3" sheetId="5" r:id="rId4"/>
    <sheet name="Sheet4" sheetId="6" r:id="rId5"/>
  </sheets>
  <definedNames>
    <definedName name="_xlnm._FilterDatabase" localSheetId="0" hidden="1">出库表!$A$1:$AI$606</definedName>
    <definedName name="p">INDEX(出库表!$AI$1,MATCH(出库表!$E$1,出库表!$J$2:$J$100,0))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65042C298B8D4E4BAFDD2224B674F5FD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987540" y="26504900"/>
          <a:ext cx="776605" cy="794385"/>
        </a:xfrm>
        <a:prstGeom prst="rect">
          <a:avLst/>
        </a:prstGeom>
      </xdr:spPr>
    </xdr:pic>
  </etc:cellImage>
  <etc:cellImage>
    <xdr:pic>
      <xdr:nvPicPr>
        <xdr:cNvPr id="7" name="ID_2F9F93DFFFD8408982562AEA4EDB5CC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87540" y="28372435"/>
          <a:ext cx="907415" cy="911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1E6C970D402480A817DBC6925762403"/>
        <xdr:cNvPicPr>
          <a:picLocks noChangeAspect="1"/>
        </xdr:cNvPicPr>
      </xdr:nvPicPr>
      <xdr:blipFill>
        <a:blip r:embed="rId3"/>
        <a:srcRect l="-859" t="847" r="859" b="-847"/>
        <a:stretch>
          <a:fillRect/>
        </a:stretch>
      </xdr:blipFill>
      <xdr:spPr>
        <a:xfrm>
          <a:off x="6987540" y="29045535"/>
          <a:ext cx="902335" cy="899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675EB021D9E741C29A69F7C13AC0AA9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629390" y="28372435"/>
          <a:ext cx="5114925" cy="2628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FB71919A8B7441C0962D12682C9D8F6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629390" y="29045535"/>
          <a:ext cx="4972050" cy="2657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C34939C3150943F6883E82B6EA37028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175105" y="29045535"/>
          <a:ext cx="1055370" cy="759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122D983116F04004B5B4B58D4FF895D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175105" y="28372435"/>
          <a:ext cx="1055370" cy="6546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A59CF3AEC699457993BCF87542A493E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 rot="16200000">
          <a:off x="14945995" y="26948130"/>
          <a:ext cx="3029585" cy="45218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B84BB01982346A082D0C6F22177242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 rot="16200000">
          <a:off x="14177010" y="26499820"/>
          <a:ext cx="4279265" cy="60648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C46FFC699285470DA925D12276896D9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 rot="16200000">
          <a:off x="13101320" y="26493470"/>
          <a:ext cx="4598035" cy="71202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223C4AFC4B984F399A630EDF8D5DB69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629390" y="26504900"/>
          <a:ext cx="4114800" cy="2600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7C1189AFFB924881830B198062D1FC93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6987540" y="31251525"/>
          <a:ext cx="852170" cy="600075"/>
        </a:xfrm>
        <a:prstGeom prst="rect">
          <a:avLst/>
        </a:prstGeom>
      </xdr:spPr>
    </xdr:pic>
  </etc:cellImage>
  <etc:cellImage>
    <xdr:pic>
      <xdr:nvPicPr>
        <xdr:cNvPr id="19" name="ID_E3C33BF1A3A3488CB8E98A12E7B4E61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629390" y="31251525"/>
          <a:ext cx="10658475" cy="7105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70566DFFAD224247AD60C0E3F91C0661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6987540" y="32077025"/>
          <a:ext cx="852170" cy="600075"/>
        </a:xfrm>
        <a:prstGeom prst="rect">
          <a:avLst/>
        </a:prstGeom>
      </xdr:spPr>
    </xdr:pic>
  </etc:cellImage>
  <etc:cellImage>
    <xdr:pic>
      <xdr:nvPicPr>
        <xdr:cNvPr id="21" name="ID_D0DFB73E289F4D66A25AD21163CAEBBF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6987540" y="32716470"/>
          <a:ext cx="838200" cy="838200"/>
        </a:xfrm>
        <a:prstGeom prst="rect">
          <a:avLst/>
        </a:prstGeom>
      </xdr:spPr>
    </xdr:pic>
  </etc:cellImage>
  <etc:cellImage>
    <xdr:pic>
      <xdr:nvPicPr>
        <xdr:cNvPr id="22" name="ID_41513634D7414199AABB46CC7A36D7B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6232505" y="32077025"/>
          <a:ext cx="19888200" cy="14544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E0777F73D08140719E490056671E225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6232505" y="33586420"/>
          <a:ext cx="20488275" cy="15059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95CA65412FE740E384009ACD4035379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987540" y="36003865"/>
          <a:ext cx="9229725" cy="8029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52E75EC82945463492497D195E6A4FEF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629390" y="35960685"/>
          <a:ext cx="13687425" cy="10944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2D2DDEEBE814AD3916925D50C58F09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175105" y="35960685"/>
          <a:ext cx="29575125" cy="15259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DF5E391C9D554B2B898B9824FAB8FF17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6987540" y="37999670"/>
          <a:ext cx="852170" cy="600075"/>
        </a:xfrm>
        <a:prstGeom prst="rect">
          <a:avLst/>
        </a:prstGeom>
      </xdr:spPr>
    </xdr:pic>
  </etc:cellImage>
  <etc:cellImage>
    <xdr:pic>
      <xdr:nvPicPr>
        <xdr:cNvPr id="15" name="ID_3AC66683BFF4452F8CC6F8021F983250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6987540" y="38618795"/>
          <a:ext cx="852170" cy="771525"/>
        </a:xfrm>
        <a:prstGeom prst="rect">
          <a:avLst/>
        </a:prstGeom>
      </xdr:spPr>
    </xdr:pic>
  </etc:cellImage>
  <etc:cellImage>
    <xdr:pic>
      <xdr:nvPicPr>
        <xdr:cNvPr id="24" name="ID_2849C55398FB4B64A40DDFACACC43DD2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6987540" y="39435405"/>
          <a:ext cx="852170" cy="600075"/>
        </a:xfrm>
        <a:prstGeom prst="rect">
          <a:avLst/>
        </a:prstGeom>
      </xdr:spPr>
    </xdr:pic>
  </etc:cellImage>
  <etc:cellImage>
    <xdr:pic>
      <xdr:nvPicPr>
        <xdr:cNvPr id="25" name="ID_3ADB576B693147AB912677C140702844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987540" y="40048815"/>
          <a:ext cx="852170" cy="828675"/>
        </a:xfrm>
        <a:prstGeom prst="rect">
          <a:avLst/>
        </a:prstGeom>
      </xdr:spPr>
    </xdr:pic>
  </etc:cellImage>
  <etc:cellImage>
    <xdr:pic>
      <xdr:nvPicPr>
        <xdr:cNvPr id="27" name="ID_6EB9619A6A704B158E314B2D6BEC6050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6987540" y="41325165"/>
          <a:ext cx="852170" cy="600075"/>
        </a:xfrm>
        <a:prstGeom prst="rect">
          <a:avLst/>
        </a:prstGeom>
      </xdr:spPr>
    </xdr:pic>
  </etc:cellImage>
  <etc:cellImage>
    <xdr:pic>
      <xdr:nvPicPr>
        <xdr:cNvPr id="28" name="ID_4EC03F2B6C6C42D8B03691D1633BADD5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6987540" y="41944290"/>
          <a:ext cx="790575" cy="838200"/>
        </a:xfrm>
        <a:prstGeom prst="rect">
          <a:avLst/>
        </a:prstGeom>
      </xdr:spPr>
    </xdr:pic>
  </etc:cellImage>
  <etc:cellImage>
    <xdr:pic>
      <xdr:nvPicPr>
        <xdr:cNvPr id="29" name="ID_E04D6261E8774D77BC1E42369E53477E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6987540" y="42877105"/>
          <a:ext cx="852170" cy="800100"/>
        </a:xfrm>
        <a:prstGeom prst="rect">
          <a:avLst/>
        </a:prstGeom>
      </xdr:spPr>
    </xdr:pic>
  </etc:cellImage>
  <etc:cellImage>
    <xdr:pic>
      <xdr:nvPicPr>
        <xdr:cNvPr id="33" name="ID_B98491661130470FA1C3147E6C79008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423150" y="23073360"/>
          <a:ext cx="3013075" cy="12388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266E58551CE94AE39654B17EDFD0F18A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1177250" y="45834300"/>
          <a:ext cx="8458200" cy="1163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F93CDBBF707442938ADD74997B5E27E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5290165" y="45834300"/>
          <a:ext cx="26746200" cy="1114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E9BCA4784B16432095D1D38D1B0B8EE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5290165" y="48348900"/>
          <a:ext cx="4514850" cy="6400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81C1A7DD7E5846918017CA7F78FE1ADF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7012940" y="49606200"/>
          <a:ext cx="838200" cy="838200"/>
        </a:xfrm>
        <a:prstGeom prst="rect">
          <a:avLst/>
        </a:prstGeom>
      </xdr:spPr>
    </xdr:pic>
  </etc:cellImage>
  <etc:cellImage>
    <xdr:pic>
      <xdr:nvPicPr>
        <xdr:cNvPr id="30" name="ID_EB35C40256A54D369F834C53E080F5D1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7012940" y="51174650"/>
          <a:ext cx="852170" cy="600075"/>
        </a:xfrm>
        <a:prstGeom prst="rect">
          <a:avLst/>
        </a:prstGeom>
      </xdr:spPr>
    </xdr:pic>
  </etc:cellImage>
  <etc:cellImage>
    <xdr:pic>
      <xdr:nvPicPr>
        <xdr:cNvPr id="31" name="ID_199697370CD24124A39F7F56C508C26E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7012940" y="51573430"/>
          <a:ext cx="852170" cy="771525"/>
        </a:xfrm>
        <a:prstGeom prst="rect">
          <a:avLst/>
        </a:prstGeom>
      </xdr:spPr>
    </xdr:pic>
  </etc:cellImage>
  <etc:cellImage>
    <xdr:pic>
      <xdr:nvPicPr>
        <xdr:cNvPr id="37" name="ID_9ED548C739EA4BF496B6B5B6BB3FAE1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3331190" y="50463450"/>
          <a:ext cx="22602825" cy="15449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6949C98362A247CC87C5B5F6D1B6C98C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3331190" y="53103780"/>
          <a:ext cx="23545800" cy="14887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113EBABF305E40979E4BC98B0CAB9FE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218275" y="55547260"/>
          <a:ext cx="10163175" cy="7315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6FFAFB0274634459A1B17A1854DED8F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3331190" y="55547260"/>
          <a:ext cx="20859750" cy="9429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1920166CEFE1456AB5C062C5586901C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012940" y="57299860"/>
          <a:ext cx="1143000" cy="1000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01" name="ID_C7705CC4504143A986E1BE0CC900DF39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166495" y="1843405"/>
          <a:ext cx="1219200" cy="835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02" name="ID_9A15E08E80D648EAA75217D49C548A4A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151255" y="2985135"/>
          <a:ext cx="1219200" cy="866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7D18A04733774E77B488B36342B3974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3331190" y="57299860"/>
          <a:ext cx="4657725" cy="251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A798738A60C5403C9C8BE554BE1720F8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3331190" y="59389010"/>
          <a:ext cx="4514850" cy="245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21425EA7E6F3427FBCE54F799F6E22F0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7012940" y="61495305"/>
          <a:ext cx="790575" cy="838200"/>
        </a:xfrm>
        <a:prstGeom prst="rect">
          <a:avLst/>
        </a:prstGeom>
      </xdr:spPr>
    </xdr:pic>
  </etc:cellImage>
  <etc:cellImage>
    <xdr:pic>
      <xdr:nvPicPr>
        <xdr:cNvPr id="49" name="ID_AE655032B6BD44BCA1A75B585CAE095F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7012940" y="63156465"/>
          <a:ext cx="852170" cy="600075"/>
        </a:xfrm>
        <a:prstGeom prst="rect">
          <a:avLst/>
        </a:prstGeom>
      </xdr:spPr>
    </xdr:pic>
  </etc:cellImage>
  <etc:cellImage>
    <xdr:pic>
      <xdr:nvPicPr>
        <xdr:cNvPr id="50" name="ID_8300B0B7A3444E88931F5624AF238F6E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7012940" y="63462535"/>
          <a:ext cx="852170" cy="809625"/>
        </a:xfrm>
        <a:prstGeom prst="rect">
          <a:avLst/>
        </a:prstGeom>
      </xdr:spPr>
    </xdr:pic>
  </etc:cellImage>
  <etc:cellImage>
    <xdr:pic>
      <xdr:nvPicPr>
        <xdr:cNvPr id="51" name="ID_4022031D934948F5B038E8B570F2F967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7012940" y="64462660"/>
          <a:ext cx="852170" cy="828675"/>
        </a:xfrm>
        <a:prstGeom prst="rect">
          <a:avLst/>
        </a:prstGeom>
      </xdr:spPr>
    </xdr:pic>
  </etc:cellImage>
  <etc:cellImage>
    <xdr:pic>
      <xdr:nvPicPr>
        <xdr:cNvPr id="52" name="ID_99672A34F1CF442D9028E4F48FC2F0D3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7012940" y="65325625"/>
          <a:ext cx="852170" cy="600075"/>
        </a:xfrm>
        <a:prstGeom prst="rect">
          <a:avLst/>
        </a:prstGeom>
      </xdr:spPr>
    </xdr:pic>
  </etc:cellImage>
  <etc:cellImage>
    <xdr:pic>
      <xdr:nvPicPr>
        <xdr:cNvPr id="32" name="ID_1B11D605E1074404842DD28DB230E183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3331190" y="41471850"/>
          <a:ext cx="9201150" cy="6143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7C99E16422BA4A1188EAC9CA37E83524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961880" y="78895575"/>
          <a:ext cx="1062990" cy="10140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F53D0C4C050B42C797BE62DF9A8B87CA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 rot="16200000">
          <a:off x="15069185" y="76891515"/>
          <a:ext cx="4518025" cy="75095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16046AFCF4A84FFFBCF0706CBBF9D978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 rot="16200000">
          <a:off x="15370810" y="78903830"/>
          <a:ext cx="3743325" cy="73672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E628039F0E1E44F996A6AF5991C120EB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3331190" y="47567850"/>
          <a:ext cx="7858125" cy="6343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2D167DBB84124888A3C5530CA2C30955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3331190" y="49091850"/>
          <a:ext cx="13144500" cy="1000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E01131E461AB4955A3797426D8DA6E8D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3331190" y="82569685"/>
          <a:ext cx="5915025" cy="420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8F58572BAFC049109F263B9D1CC0AFAB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3331190" y="85693250"/>
          <a:ext cx="4057650" cy="4029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BFE478B2794445D59C3EA1A3015DD1A4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89520395"/>
          <a:ext cx="852170" cy="828675"/>
        </a:xfrm>
        <a:prstGeom prst="rect">
          <a:avLst/>
        </a:prstGeom>
      </xdr:spPr>
    </xdr:pic>
  </etc:cellImage>
  <etc:cellImage>
    <xdr:pic>
      <xdr:nvPicPr>
        <xdr:cNvPr id="57" name="ID_F557C088D3A44A08A43CAC3020CAE27F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91045665"/>
          <a:ext cx="852170" cy="600075"/>
        </a:xfrm>
        <a:prstGeom prst="rect">
          <a:avLst/>
        </a:prstGeom>
      </xdr:spPr>
    </xdr:pic>
  </etc:cellImage>
  <etc:cellImage>
    <xdr:pic>
      <xdr:nvPicPr>
        <xdr:cNvPr id="58" name="ID_467A44284C6A4D73982118C967BF5636" descr="IMG_25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961880" y="94529910"/>
          <a:ext cx="857250" cy="800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A8CC76B3F658494D9CEEB2FBA50E9288" descr="post_object_image_2499729002"/>
        <xdr:cNvPicPr/>
      </xdr:nvPicPr>
      <xdr:blipFill>
        <a:blip r:embed="rId45"/>
        <a:stretch>
          <a:fillRect/>
        </a:stretch>
      </xdr:blipFill>
      <xdr:spPr>
        <a:xfrm>
          <a:off x="0" y="0"/>
          <a:ext cx="4114800" cy="2781300"/>
        </a:xfrm>
        <a:prstGeom prst="rect">
          <a:avLst/>
        </a:prstGeom>
      </xdr:spPr>
    </xdr:pic>
  </etc:cellImage>
  <etc:cellImage>
    <xdr:pic>
      <xdr:nvPicPr>
        <xdr:cNvPr id="64" name="ID_C00B12BF8D05421FABF9657CF8E619E0" descr="post_object_image_2350312933"/>
        <xdr:cNvPicPr/>
      </xdr:nvPicPr>
      <xdr:blipFill>
        <a:blip r:embed="rId46"/>
        <a:stretch>
          <a:fillRect/>
        </a:stretch>
      </xdr:blipFill>
      <xdr:spPr>
        <a:xfrm>
          <a:off x="0" y="0"/>
          <a:ext cx="3657600" cy="3009900"/>
        </a:xfrm>
        <a:prstGeom prst="rect">
          <a:avLst/>
        </a:prstGeom>
      </xdr:spPr>
    </xdr:pic>
  </etc:cellImage>
  <etc:cellImage>
    <xdr:pic>
      <xdr:nvPicPr>
        <xdr:cNvPr id="65" name="ID_BE3384EB069B4CF4A28397FC20D7690E" descr="post_object_image_499993114"/>
        <xdr:cNvPicPr/>
      </xdr:nvPicPr>
      <xdr:blipFill>
        <a:blip r:embed="rId47"/>
        <a:stretch>
          <a:fillRect/>
        </a:stretch>
      </xdr:blipFill>
      <xdr:spPr>
        <a:xfrm>
          <a:off x="0" y="0"/>
          <a:ext cx="4724400" cy="2933700"/>
        </a:xfrm>
        <a:prstGeom prst="rect">
          <a:avLst/>
        </a:prstGeom>
      </xdr:spPr>
    </xdr:pic>
  </etc:cellImage>
  <etc:cellImage>
    <xdr:pic>
      <xdr:nvPicPr>
        <xdr:cNvPr id="66" name="ID_6F1FE7FE22954B8EA23E7D84E263D38A" descr="post_object_image_423012595"/>
        <xdr:cNvPicPr/>
      </xdr:nvPicPr>
      <xdr:blipFill>
        <a:blip r:embed="rId48"/>
        <a:stretch>
          <a:fillRect/>
        </a:stretch>
      </xdr:blipFill>
      <xdr:spPr>
        <a:xfrm>
          <a:off x="0" y="0"/>
          <a:ext cx="857250" cy="400050"/>
        </a:xfrm>
        <a:prstGeom prst="rect">
          <a:avLst/>
        </a:prstGeom>
      </xdr:spPr>
    </xdr:pic>
  </etc:cellImage>
  <etc:cellImage>
    <xdr:pic>
      <xdr:nvPicPr>
        <xdr:cNvPr id="68" name="ID_D3E8CEEB21394918B34994E2A23ECAC9" descr="post_object_image_2817839587"/>
        <xdr:cNvPicPr/>
      </xdr:nvPicPr>
      <xdr:blipFill>
        <a:blip r:embed="rId49"/>
        <a:stretch>
          <a:fillRect/>
        </a:stretch>
      </xdr:blipFill>
      <xdr:spPr>
        <a:xfrm>
          <a:off x="0" y="0"/>
          <a:ext cx="4762500" cy="3619500"/>
        </a:xfrm>
        <a:prstGeom prst="rect">
          <a:avLst/>
        </a:prstGeom>
      </xdr:spPr>
    </xdr:pic>
  </etc:cellImage>
  <etc:cellImage>
    <xdr:pic>
      <xdr:nvPicPr>
        <xdr:cNvPr id="67" name="ID_B79C8D2B3F4343C299A1C1E2AB51C7F8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9961880" y="103190040"/>
          <a:ext cx="838200" cy="1638300"/>
        </a:xfrm>
        <a:prstGeom prst="rect">
          <a:avLst/>
        </a:prstGeom>
      </xdr:spPr>
    </xdr:pic>
  </etc:cellImage>
  <etc:cellImage>
    <xdr:pic>
      <xdr:nvPicPr>
        <xdr:cNvPr id="69" name="ID_876F4328CE6B4BAB832660E8E72E2C49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06237405"/>
          <a:ext cx="852170" cy="600075"/>
        </a:xfrm>
        <a:prstGeom prst="rect">
          <a:avLst/>
        </a:prstGeom>
      </xdr:spPr>
    </xdr:pic>
  </etc:cellImage>
  <etc:cellImage>
    <xdr:pic>
      <xdr:nvPicPr>
        <xdr:cNvPr id="70" name="ID_5F85C2A0503348D095EDA2A7CAB04E9A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3331190" y="108556425"/>
          <a:ext cx="23288625" cy="7486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" name="ID_C7743C77966D4DDF8925AB9C9EF3DFBA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9961880" y="120668415"/>
          <a:ext cx="852170" cy="771525"/>
        </a:xfrm>
        <a:prstGeom prst="rect">
          <a:avLst/>
        </a:prstGeom>
      </xdr:spPr>
    </xdr:pic>
  </etc:cellImage>
  <etc:cellImage>
    <xdr:pic>
      <xdr:nvPicPr>
        <xdr:cNvPr id="72" name="ID_0CFFD05628514B92B506BB23F9721ABA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20477915"/>
          <a:ext cx="852170" cy="600075"/>
        </a:xfrm>
        <a:prstGeom prst="rect">
          <a:avLst/>
        </a:prstGeom>
      </xdr:spPr>
    </xdr:pic>
  </etc:cellImage>
  <etc:cellImage>
    <xdr:pic>
      <xdr:nvPicPr>
        <xdr:cNvPr id="73" name="ID_50EA01EB891946C89A197CDBB358130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9961880" y="124378720"/>
          <a:ext cx="7915275" cy="910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46C6F07B60524A8E8D2E17A3CD515AED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3331190" y="124378720"/>
          <a:ext cx="6457950" cy="202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" name="ID_DBFDF3F610374E56A5BE0324B5B939BB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28414780"/>
          <a:ext cx="852170" cy="600075"/>
        </a:xfrm>
        <a:prstGeom prst="rect">
          <a:avLst/>
        </a:prstGeom>
      </xdr:spPr>
    </xdr:pic>
  </etc:cellImage>
  <etc:cellImage>
    <xdr:pic>
      <xdr:nvPicPr>
        <xdr:cNvPr id="76" name="ID_05B7951C7EE84BB0924D5B89933AA04C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29524760"/>
          <a:ext cx="852170" cy="828675"/>
        </a:xfrm>
        <a:prstGeom prst="rect">
          <a:avLst/>
        </a:prstGeom>
      </xdr:spPr>
    </xdr:pic>
  </etc:cellImage>
  <etc:cellImage>
    <xdr:pic>
      <xdr:nvPicPr>
        <xdr:cNvPr id="77" name="ID_FD51AE372E9A41E69FA610F652B886B3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3331190" y="128414780"/>
          <a:ext cx="3561080" cy="2305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" name="ID_C6E41FD045D94187BEB651D5EBFB07F5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3331190" y="130916045"/>
          <a:ext cx="3218180" cy="1562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" name="ID_3543B9942F364D549B4C57451DE9CF17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9961880" y="134277735"/>
          <a:ext cx="838200" cy="838200"/>
        </a:xfrm>
        <a:prstGeom prst="rect">
          <a:avLst/>
        </a:prstGeom>
      </xdr:spPr>
    </xdr:pic>
  </etc:cellImage>
  <etc:cellImage>
    <xdr:pic>
      <xdr:nvPicPr>
        <xdr:cNvPr id="80" name="ID_6BA7CB56681C4D8FA04CA7133B855EB4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9961880" y="135355330"/>
          <a:ext cx="852170" cy="809625"/>
        </a:xfrm>
        <a:prstGeom prst="rect">
          <a:avLst/>
        </a:prstGeom>
      </xdr:spPr>
    </xdr:pic>
  </etc:cellImage>
  <etc:cellImage>
    <xdr:pic>
      <xdr:nvPicPr>
        <xdr:cNvPr id="81" name="ID_135C9235078044D580CF379B2E357FA5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136135110"/>
          <a:ext cx="790575" cy="838200"/>
        </a:xfrm>
        <a:prstGeom prst="rect">
          <a:avLst/>
        </a:prstGeom>
      </xdr:spPr>
    </xdr:pic>
  </etc:cellImage>
  <etc:cellImage>
    <xdr:pic>
      <xdr:nvPicPr>
        <xdr:cNvPr id="82" name="ID_DE685D3D1FEF4D7D8272440A0D6F321F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9961880" y="137133965"/>
          <a:ext cx="852170" cy="800100"/>
        </a:xfrm>
        <a:prstGeom prst="rect">
          <a:avLst/>
        </a:prstGeom>
      </xdr:spPr>
    </xdr:pic>
  </etc:cellImage>
  <etc:cellImage>
    <xdr:pic>
      <xdr:nvPicPr>
        <xdr:cNvPr id="83" name="ID_EB250A9C0FAF49CF8D403E00F7D3F4F8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3331190" y="132320030"/>
          <a:ext cx="19259550" cy="8401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" name="ID_5AB5CB1D2451447280D8A1A78D1D7BB7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38647170"/>
          <a:ext cx="852170" cy="828675"/>
        </a:xfrm>
        <a:prstGeom prst="rect">
          <a:avLst/>
        </a:prstGeom>
      </xdr:spPr>
    </xdr:pic>
  </etc:cellImage>
  <etc:cellImage>
    <xdr:pic>
      <xdr:nvPicPr>
        <xdr:cNvPr id="86" name="ID_80BABFE15A6C44EF8ED8F2E54A094A8B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39518390"/>
          <a:ext cx="852170" cy="600075"/>
        </a:xfrm>
        <a:prstGeom prst="rect">
          <a:avLst/>
        </a:prstGeom>
      </xdr:spPr>
    </xdr:pic>
  </etc:cellImage>
  <etc:cellImage>
    <xdr:pic>
      <xdr:nvPicPr>
        <xdr:cNvPr id="87" name="ID_DC6EFB7BAC514709ADAE5F829849FBD1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9961880" y="139950825"/>
          <a:ext cx="838200" cy="838200"/>
        </a:xfrm>
        <a:prstGeom prst="rect">
          <a:avLst/>
        </a:prstGeom>
      </xdr:spPr>
    </xdr:pic>
  </etc:cellImage>
  <etc:cellImage>
    <xdr:pic>
      <xdr:nvPicPr>
        <xdr:cNvPr id="88" name="ID_4D0C97B863444D5995E6DAD172F7B2C4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9218275" y="128414780"/>
          <a:ext cx="23460075" cy="17373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819" name="ID_EB4149A27E654045BA786217467107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038715" y="30529530"/>
          <a:ext cx="688975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7" name="ID_926E065C481D41078CA622250283B6D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287635" y="31383605"/>
          <a:ext cx="688975" cy="690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9" name="ID_C4F67C386F2046AB8AAF13BE16690C2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961880" y="76635610"/>
          <a:ext cx="1062990" cy="10140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0" name="ID_67D1DB1DBBC5425581536AD443941B17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9218275" y="125367415"/>
          <a:ext cx="3404870" cy="24860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21" name="ID_EC03389A7CEA47C4A6279E3794E259D3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3331190" y="125367415"/>
          <a:ext cx="5271770" cy="89662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22" name="ID_BA0C1C0375FE4414A9575E946F7E94B7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 rot="16200000">
          <a:off x="11529060" y="119242205"/>
          <a:ext cx="4164965" cy="71647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3" name="ID_AA26FC7563DA4149827A63EB77ADA23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 rot="16200000">
          <a:off x="13920470" y="116726335"/>
          <a:ext cx="3460115" cy="64839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67395E76A8CA464EB189B941CC33A391"/>
        <xdr:cNvPicPr>
          <a:picLocks noChangeAspect="1"/>
        </xdr:cNvPicPr>
      </xdr:nvPicPr>
      <xdr:blipFill>
        <a:blip r:embed="rId61"/>
        <a:srcRect/>
        <a:stretch>
          <a:fillRect/>
        </a:stretch>
      </xdr:blipFill>
      <xdr:spPr>
        <a:xfrm>
          <a:off x="9961880" y="151831040"/>
          <a:ext cx="647700" cy="838200"/>
        </a:xfrm>
        <a:prstGeom prst="rect">
          <a:avLst/>
        </a:prstGeom>
      </xdr:spPr>
    </xdr:pic>
  </etc:cellImage>
  <etc:cellImage>
    <xdr:pic>
      <xdr:nvPicPr>
        <xdr:cNvPr id="61" name="ID_C90BDAD3623E45478D8CE8AFCC551504"/>
        <xdr:cNvPicPr>
          <a:picLocks noChangeAspect="1"/>
        </xdr:cNvPicPr>
      </xdr:nvPicPr>
      <xdr:blipFill>
        <a:blip r:embed="rId62"/>
        <a:srcRect/>
        <a:stretch>
          <a:fillRect/>
        </a:stretch>
      </xdr:blipFill>
      <xdr:spPr>
        <a:xfrm>
          <a:off x="9961880" y="153200735"/>
          <a:ext cx="742950" cy="838200"/>
        </a:xfrm>
        <a:prstGeom prst="rect">
          <a:avLst/>
        </a:prstGeom>
      </xdr:spPr>
    </xdr:pic>
  </etc:cellImage>
  <etc:cellImage>
    <xdr:pic>
      <xdr:nvPicPr>
        <xdr:cNvPr id="62" name="ID_88AF2DD40D344BD18F4A8C8B009E255C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53800810"/>
          <a:ext cx="852170" cy="600075"/>
        </a:xfrm>
        <a:prstGeom prst="rect">
          <a:avLst/>
        </a:prstGeom>
      </xdr:spPr>
    </xdr:pic>
  </etc:cellImage>
  <etc:cellImage>
    <xdr:pic>
      <xdr:nvPicPr>
        <xdr:cNvPr id="89" name="ID_401E5B231D5B4BE4A2745484F2F23BD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4899640" y="85909150"/>
          <a:ext cx="1838325" cy="101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" name="ID_F4C3BA8FA1DE4F2D9AC12BE1F2D38E5A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4899640" y="88054180"/>
          <a:ext cx="1703070" cy="101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" name="ID_B6109ECBC37B4464940DB3F3EEA0B869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4982825" y="773430"/>
          <a:ext cx="10058400" cy="3743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" name="ID_06CF54BDFF2B4EDD99F8EDC8F92F6DCD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9961880" y="93156405"/>
          <a:ext cx="838200" cy="838200"/>
        </a:xfrm>
        <a:prstGeom prst="rect">
          <a:avLst/>
        </a:prstGeom>
      </xdr:spPr>
    </xdr:pic>
  </etc:cellImage>
  <etc:cellImage>
    <xdr:pic>
      <xdr:nvPicPr>
        <xdr:cNvPr id="93" name="ID_1F876FEEF188493FA1A8DAD154E8C915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85974555"/>
          <a:ext cx="852170" cy="828675"/>
        </a:xfrm>
        <a:prstGeom prst="rect">
          <a:avLst/>
        </a:prstGeom>
      </xdr:spPr>
    </xdr:pic>
  </etc:cellImage>
  <etc:cellImage>
    <xdr:pic>
      <xdr:nvPicPr>
        <xdr:cNvPr id="94" name="ID_94864746F84F49D394A5BFDA640E84C3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86822280"/>
          <a:ext cx="852170" cy="600075"/>
        </a:xfrm>
        <a:prstGeom prst="rect">
          <a:avLst/>
        </a:prstGeom>
      </xdr:spPr>
    </xdr:pic>
  </etc:cellImage>
  <etc:cellImage>
    <xdr:pic>
      <xdr:nvPicPr>
        <xdr:cNvPr id="95" name="ID_A176F3D1F56B45AFB698ABF7431854F5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4899640" y="83536155"/>
          <a:ext cx="5743575" cy="157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" name="ID_9AF45304E0FC47ABAE07423C1D23428B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4899640" y="83903820"/>
          <a:ext cx="6115050" cy="3086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" name="ID_C6EFB9C308084C3D922D1515419BDC35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4966950" y="81904840"/>
          <a:ext cx="5572125" cy="3028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10E342E27EC4464992B6C44AA79FB7D3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9961880" y="83284060"/>
          <a:ext cx="838200" cy="838200"/>
        </a:xfrm>
        <a:prstGeom prst="rect">
          <a:avLst/>
        </a:prstGeom>
      </xdr:spPr>
    </xdr:pic>
  </etc:cellImage>
  <etc:cellImage>
    <xdr:pic>
      <xdr:nvPicPr>
        <xdr:cNvPr id="97" name="ID_C332EFB02B32467EA550788AC6817D01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0532090" y="84120355"/>
          <a:ext cx="8429625" cy="1165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" name="ID_38D19ABD0C574807BCED0B67870D991F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4899640" y="84120355"/>
          <a:ext cx="10887075" cy="3857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" name="ID_5B42375A5CFA4D37ACCBA740BDACF8A4"/>
        <xdr:cNvPicPr>
          <a:picLocks noChangeAspect="1"/>
        </xdr:cNvPicPr>
      </xdr:nvPicPr>
      <xdr:blipFill>
        <a:blip r:embed="rId72"/>
        <a:srcRect/>
        <a:stretch>
          <a:fillRect/>
        </a:stretch>
      </xdr:blipFill>
      <xdr:spPr>
        <a:xfrm>
          <a:off x="9961880" y="85464015"/>
          <a:ext cx="852170" cy="828675"/>
        </a:xfrm>
        <a:prstGeom prst="rect">
          <a:avLst/>
        </a:prstGeom>
      </xdr:spPr>
    </xdr:pic>
  </etc:cellImage>
  <etc:cellImage>
    <xdr:pic>
      <xdr:nvPicPr>
        <xdr:cNvPr id="101" name="ID_41958D133E644C958853AF12B502E648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189036960"/>
          <a:ext cx="790575" cy="838200"/>
        </a:xfrm>
        <a:prstGeom prst="rect">
          <a:avLst/>
        </a:prstGeom>
      </xdr:spPr>
    </xdr:pic>
  </etc:cellImage>
  <etc:cellImage>
    <xdr:pic>
      <xdr:nvPicPr>
        <xdr:cNvPr id="102" name="ID_F343A9A0244947B590C301EBF71705D1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90698120"/>
          <a:ext cx="852170" cy="600075"/>
        </a:xfrm>
        <a:prstGeom prst="rect">
          <a:avLst/>
        </a:prstGeom>
      </xdr:spPr>
    </xdr:pic>
  </etc:cellImage>
  <etc:cellImage>
    <xdr:pic>
      <xdr:nvPicPr>
        <xdr:cNvPr id="103" name="ID_6F6C05C992D04BE487DEB6E450E4669E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91004190"/>
          <a:ext cx="852170" cy="828675"/>
        </a:xfrm>
        <a:prstGeom prst="rect">
          <a:avLst/>
        </a:prstGeom>
      </xdr:spPr>
    </xdr:pic>
  </etc:cellImage>
  <etc:cellImage>
    <xdr:pic>
      <xdr:nvPicPr>
        <xdr:cNvPr id="104" name="ID_609853501B7C461881BB50589DA89D0C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9961880" y="192038605"/>
          <a:ext cx="838200" cy="838200"/>
        </a:xfrm>
        <a:prstGeom prst="rect">
          <a:avLst/>
        </a:prstGeom>
      </xdr:spPr>
    </xdr:pic>
  </etc:cellImage>
  <etc:cellImage>
    <xdr:pic>
      <xdr:nvPicPr>
        <xdr:cNvPr id="105" name="ID_44C7B6F7EA314B868444B4D6A96BC228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9961880" y="192929510"/>
          <a:ext cx="852170" cy="800100"/>
        </a:xfrm>
        <a:prstGeom prst="rect">
          <a:avLst/>
        </a:prstGeom>
      </xdr:spPr>
    </xdr:pic>
  </etc:cellImage>
  <etc:cellImage>
    <xdr:pic>
      <xdr:nvPicPr>
        <xdr:cNvPr id="106" name="ID_7DA3759EB29846EE94253E5C5D39D6DE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193691510"/>
          <a:ext cx="790575" cy="838200"/>
        </a:xfrm>
        <a:prstGeom prst="rect">
          <a:avLst/>
        </a:prstGeom>
      </xdr:spPr>
    </xdr:pic>
  </etc:cellImage>
  <etc:cellImage>
    <xdr:pic>
      <xdr:nvPicPr>
        <xdr:cNvPr id="107" name="ID_0CCCE3D03268448DA27D199467B72A55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4899640" y="193894710"/>
          <a:ext cx="4629150" cy="428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" name="ID_6E16C074A29A4D879BE91F7B84EBB7A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8499455" y="198451470"/>
          <a:ext cx="5257800" cy="1857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" name="ID_554D825539864C2FB9C89E735BF239E6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14899640" y="198451470"/>
          <a:ext cx="5057775" cy="3686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" name="ID_4924500D8EC24EE490F2CB3D8C236146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9961880" y="90801190"/>
          <a:ext cx="838200" cy="838200"/>
        </a:xfrm>
        <a:prstGeom prst="rect">
          <a:avLst/>
        </a:prstGeom>
      </xdr:spPr>
    </xdr:pic>
  </etc:cellImage>
  <etc:cellImage>
    <xdr:pic>
      <xdr:nvPicPr>
        <xdr:cNvPr id="111" name="ID_19FDB5D2056B478D95F25EF8812CE523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91167585"/>
          <a:ext cx="852170" cy="828675"/>
        </a:xfrm>
        <a:prstGeom prst="rect">
          <a:avLst/>
        </a:prstGeom>
      </xdr:spPr>
    </xdr:pic>
  </etc:cellImage>
  <etc:cellImage>
    <xdr:pic>
      <xdr:nvPicPr>
        <xdr:cNvPr id="112" name="ID_2B75B9DD8E4547069FED201B9DA6BF1D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14899640" y="41231185"/>
          <a:ext cx="11630025" cy="17487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" name="ID_A44C3C46A6034713AA3A998003189A18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9961880" y="96968310"/>
          <a:ext cx="852170" cy="809625"/>
        </a:xfrm>
        <a:prstGeom prst="rect">
          <a:avLst/>
        </a:prstGeom>
      </xdr:spPr>
    </xdr:pic>
  </etc:cellImage>
  <etc:cellImage>
    <xdr:pic>
      <xdr:nvPicPr>
        <xdr:cNvPr id="114" name="ID_71D53BA6C552425FA0CB1EFAFE1771ED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98459290"/>
          <a:ext cx="790575" cy="838200"/>
        </a:xfrm>
        <a:prstGeom prst="rect">
          <a:avLst/>
        </a:prstGeom>
      </xdr:spPr>
    </xdr:pic>
  </etc:cellImage>
  <etc:cellImage>
    <xdr:pic>
      <xdr:nvPicPr>
        <xdr:cNvPr id="115" name="ID_6C2EAC70D4D04A48A52CAAB8531A11B8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9961880" y="99458145"/>
          <a:ext cx="852170" cy="800100"/>
        </a:xfrm>
        <a:prstGeom prst="rect">
          <a:avLst/>
        </a:prstGeom>
      </xdr:spPr>
    </xdr:pic>
  </etc:cellImage>
  <etc:cellImage>
    <xdr:pic>
      <xdr:nvPicPr>
        <xdr:cNvPr id="116" name="ID_279C3FC5AC1B417A9BBC6533CB5FBBFD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00127435"/>
          <a:ext cx="852170" cy="828675"/>
        </a:xfrm>
        <a:prstGeom prst="rect">
          <a:avLst/>
        </a:prstGeom>
      </xdr:spPr>
    </xdr:pic>
  </etc:cellImage>
  <etc:cellImage>
    <xdr:pic>
      <xdr:nvPicPr>
        <xdr:cNvPr id="117" name="ID_7454B8FAA9FF4A7EA27F0900139739E0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00998655"/>
          <a:ext cx="852170" cy="600075"/>
        </a:xfrm>
        <a:prstGeom prst="rect">
          <a:avLst/>
        </a:prstGeom>
      </xdr:spPr>
    </xdr:pic>
  </etc:cellImage>
  <etc:cellImage>
    <xdr:pic>
      <xdr:nvPicPr>
        <xdr:cNvPr id="118" name="ID_B74EA7AE666A48EFB4893ECCD88DCD09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9961880" y="101431090"/>
          <a:ext cx="838200" cy="838200"/>
        </a:xfrm>
        <a:prstGeom prst="rect">
          <a:avLst/>
        </a:prstGeom>
      </xdr:spPr>
    </xdr:pic>
  </etc:cellImage>
  <etc:cellImage>
    <xdr:pic>
      <xdr:nvPicPr>
        <xdr:cNvPr id="119" name="ID_AB7C2C30A7C9479EAD1A49487B6CD334"/>
        <xdr:cNvPicPr>
          <a:picLocks noChangeAspect="1"/>
        </xdr:cNvPicPr>
      </xdr:nvPicPr>
      <xdr:blipFill>
        <a:blip r:embed="rId77"/>
        <a:srcRect/>
        <a:stretch>
          <a:fillRect/>
        </a:stretch>
      </xdr:blipFill>
      <xdr:spPr>
        <a:xfrm>
          <a:off x="9961880" y="98286570"/>
          <a:ext cx="828675" cy="838200"/>
        </a:xfrm>
        <a:prstGeom prst="rect">
          <a:avLst/>
        </a:prstGeom>
      </xdr:spPr>
    </xdr:pic>
  </etc:cellImage>
  <etc:cellImage>
    <xdr:pic>
      <xdr:nvPicPr>
        <xdr:cNvPr id="120" name="ID_44CCAF9B84BA461F87517320629D128E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99872800"/>
          <a:ext cx="852170" cy="828675"/>
        </a:xfrm>
        <a:prstGeom prst="rect">
          <a:avLst/>
        </a:prstGeom>
      </xdr:spPr>
    </xdr:pic>
  </etc:cellImage>
  <etc:cellImage>
    <xdr:pic>
      <xdr:nvPicPr>
        <xdr:cNvPr id="121" name="ID_A86C5EFAEB6547A8A7F68CB23B904A06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99991545"/>
          <a:ext cx="852170" cy="600075"/>
        </a:xfrm>
        <a:prstGeom prst="rect">
          <a:avLst/>
        </a:prstGeom>
      </xdr:spPr>
    </xdr:pic>
  </etc:cellImage>
  <etc:cellImage>
    <xdr:pic>
      <xdr:nvPicPr>
        <xdr:cNvPr id="122" name="ID_3C44046A8D6F405C8FB9A66CDC149D36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4899640" y="99991545"/>
          <a:ext cx="7666355" cy="451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" name="ID_395E92DE0A084BDAADC57A5729192192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102309295"/>
          <a:ext cx="790575" cy="838200"/>
        </a:xfrm>
        <a:prstGeom prst="rect">
          <a:avLst/>
        </a:prstGeom>
      </xdr:spPr>
    </xdr:pic>
  </etc:cellImage>
  <etc:cellImage>
    <xdr:pic>
      <xdr:nvPicPr>
        <xdr:cNvPr id="124" name="ID_EE6426C95D5843D68B0B5E0162D2D2F1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02118795"/>
          <a:ext cx="852170" cy="600075"/>
        </a:xfrm>
        <a:prstGeom prst="rect">
          <a:avLst/>
        </a:prstGeom>
      </xdr:spPr>
    </xdr:pic>
  </etc:cellImage>
  <etc:cellImage>
    <xdr:pic>
      <xdr:nvPicPr>
        <xdr:cNvPr id="125" name="ID_375608283C7D41938FD0FA4A039FFA2D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4899640" y="104086025"/>
          <a:ext cx="20859750" cy="1160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" name="ID_95EDA3E222C24D7086ADF01A945DF406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106096435"/>
          <a:ext cx="790575" cy="838200"/>
        </a:xfrm>
        <a:prstGeom prst="rect">
          <a:avLst/>
        </a:prstGeom>
      </xdr:spPr>
    </xdr:pic>
  </etc:cellImage>
  <etc:cellImage>
    <xdr:pic>
      <xdr:nvPicPr>
        <xdr:cNvPr id="128" name="ID_CC7C528EF77146248E41260D1F48A26A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4899640" y="105749725"/>
          <a:ext cx="5715000" cy="4257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" name="ID_92E0E66143CF4F9B80BBE1B4A1B523E6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4899640" y="102051485"/>
          <a:ext cx="8258175" cy="445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" name="ID_3B4AF36A7FBA441284D42B35C6E0B5E8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8499455" y="102051485"/>
          <a:ext cx="3000375" cy="2200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" name="ID_9D05AD88BB2F4DAAA1864BB529FBCAA2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4899640" y="104002840"/>
          <a:ext cx="16316325" cy="8601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" name="ID_A32C53C5B2CF49B4907E49CADCF6CE50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8499455" y="104002840"/>
          <a:ext cx="2428875" cy="1600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" name="ID_F86C826B3C2445C69725D700B5ED3814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71595615"/>
          <a:ext cx="852170" cy="828675"/>
        </a:xfrm>
        <a:prstGeom prst="rect">
          <a:avLst/>
        </a:prstGeom>
      </xdr:spPr>
    </xdr:pic>
  </etc:cellImage>
  <etc:cellImage>
    <xdr:pic>
      <xdr:nvPicPr>
        <xdr:cNvPr id="127" name="ID_93E60A81BA784E158FBDA41FC1BC9DC4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4899640" y="72809735"/>
          <a:ext cx="2257425" cy="1771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" name="ID_CDD071C101544A47A1AEFEA0A1FF2632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9961880" y="74600435"/>
          <a:ext cx="838200" cy="838200"/>
        </a:xfrm>
        <a:prstGeom prst="rect">
          <a:avLst/>
        </a:prstGeom>
      </xdr:spPr>
    </xdr:pic>
  </etc:cellImage>
  <etc:cellImage>
    <xdr:pic>
      <xdr:nvPicPr>
        <xdr:cNvPr id="134" name="ID_E47B870BADA6489C8DE146B3D558D720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14899640" y="75457685"/>
          <a:ext cx="4286250" cy="3429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" name="ID_EBACFA3B7810494C895318E21360CC99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9961880" y="78341220"/>
          <a:ext cx="657225" cy="838200"/>
        </a:xfrm>
        <a:prstGeom prst="rect">
          <a:avLst/>
        </a:prstGeom>
      </xdr:spPr>
    </xdr:pic>
  </etc:cellImage>
  <etc:cellImage>
    <xdr:pic>
      <xdr:nvPicPr>
        <xdr:cNvPr id="136" name="ID_EDC33736CAEE4E77BECF48E161696FBD"/>
        <xdr:cNvPicPr>
          <a:picLocks noChangeAspect="1"/>
        </xdr:cNvPicPr>
      </xdr:nvPicPr>
      <xdr:blipFill>
        <a:blip r:embed="rId88"/>
        <a:srcRect/>
        <a:stretch>
          <a:fillRect/>
        </a:stretch>
      </xdr:blipFill>
      <xdr:spPr>
        <a:xfrm>
          <a:off x="9961880" y="80335755"/>
          <a:ext cx="852170" cy="581025"/>
        </a:xfrm>
        <a:prstGeom prst="rect">
          <a:avLst/>
        </a:prstGeom>
      </xdr:spPr>
    </xdr:pic>
  </etc:cellImage>
  <etc:cellImage>
    <xdr:pic>
      <xdr:nvPicPr>
        <xdr:cNvPr id="137" name="ID_8AA16C2A98B74CB3B9E58F922F6538CF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9961880" y="80273525"/>
          <a:ext cx="852170" cy="809625"/>
        </a:xfrm>
        <a:prstGeom prst="rect">
          <a:avLst/>
        </a:prstGeom>
      </xdr:spPr>
    </xdr:pic>
  </etc:cellImage>
  <etc:cellImage>
    <xdr:pic>
      <xdr:nvPicPr>
        <xdr:cNvPr id="138" name="ID_39A14D0FFD9341798B1BB11C472B74E4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81289525"/>
          <a:ext cx="790575" cy="838200"/>
        </a:xfrm>
        <a:prstGeom prst="rect">
          <a:avLst/>
        </a:prstGeom>
      </xdr:spPr>
    </xdr:pic>
  </etc:cellImage>
  <etc:cellImage>
    <xdr:pic>
      <xdr:nvPicPr>
        <xdr:cNvPr id="139" name="ID_5127CF4D79714A5C955E8FF69A5E52F4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89379425"/>
          <a:ext cx="852170" cy="828675"/>
        </a:xfrm>
        <a:prstGeom prst="rect">
          <a:avLst/>
        </a:prstGeom>
      </xdr:spPr>
    </xdr:pic>
  </etc:cellImage>
  <etc:cellImage>
    <xdr:pic>
      <xdr:nvPicPr>
        <xdr:cNvPr id="140" name="ID_64A385AA73984E7E98662817788FFA8F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95737045"/>
          <a:ext cx="852170" cy="600075"/>
        </a:xfrm>
        <a:prstGeom prst="rect">
          <a:avLst/>
        </a:prstGeom>
      </xdr:spPr>
    </xdr:pic>
  </etc:cellImage>
  <etc:cellImage>
    <xdr:pic>
      <xdr:nvPicPr>
        <xdr:cNvPr id="141" name="ID_62A85848A9A74B29B716025573822A9E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9961880" y="96169480"/>
          <a:ext cx="657225" cy="838200"/>
        </a:xfrm>
        <a:prstGeom prst="rect">
          <a:avLst/>
        </a:prstGeom>
      </xdr:spPr>
    </xdr:pic>
  </etc:cellImage>
  <etc:cellImage>
    <xdr:pic>
      <xdr:nvPicPr>
        <xdr:cNvPr id="142" name="ID_C26101BE94C3434B9E3390695F5FA6F2"/>
        <xdr:cNvPicPr>
          <a:picLocks noChangeAspect="1"/>
        </xdr:cNvPicPr>
      </xdr:nvPicPr>
      <xdr:blipFill>
        <a:blip r:embed="rId89"/>
        <a:srcRect/>
        <a:stretch>
          <a:fillRect/>
        </a:stretch>
      </xdr:blipFill>
      <xdr:spPr>
        <a:xfrm>
          <a:off x="9961880" y="96535875"/>
          <a:ext cx="852170" cy="809625"/>
        </a:xfrm>
        <a:prstGeom prst="rect">
          <a:avLst/>
        </a:prstGeom>
      </xdr:spPr>
    </xdr:pic>
  </etc:cellImage>
  <etc:cellImage>
    <xdr:pic>
      <xdr:nvPicPr>
        <xdr:cNvPr id="143" name="ID_73A303BBA2984D80B9A1DFBABC2178BF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14899640" y="97983675"/>
          <a:ext cx="9001125" cy="6486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" name="ID_78EA195D6DAB41CE8069FECCCA9D831D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4899640" y="102562660"/>
          <a:ext cx="4800600" cy="5572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" name="ID_F4A9A57DEBC248D8AB12409ADAD11D33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9961880" y="107880785"/>
          <a:ext cx="657225" cy="838200"/>
        </a:xfrm>
        <a:prstGeom prst="rect">
          <a:avLst/>
        </a:prstGeom>
      </xdr:spPr>
    </xdr:pic>
  </etc:cellImage>
  <etc:cellImage>
    <xdr:pic>
      <xdr:nvPicPr>
        <xdr:cNvPr id="146" name="ID_3D6F1BBD1052412AA9A7B805975B39C6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09875320"/>
          <a:ext cx="852170" cy="828675"/>
        </a:xfrm>
        <a:prstGeom prst="rect">
          <a:avLst/>
        </a:prstGeom>
      </xdr:spPr>
    </xdr:pic>
  </etc:cellImage>
  <etc:cellImage>
    <xdr:pic>
      <xdr:nvPicPr>
        <xdr:cNvPr id="147" name="ID_002240192A334CFB930A22EAC7587705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9961880" y="111405035"/>
          <a:ext cx="852170" cy="771525"/>
        </a:xfrm>
        <a:prstGeom prst="rect">
          <a:avLst/>
        </a:prstGeom>
      </xdr:spPr>
    </xdr:pic>
  </etc:cellImage>
  <etc:cellImage>
    <xdr:pic>
      <xdr:nvPicPr>
        <xdr:cNvPr id="148" name="ID_6BA675F4F8D54CFCAE6BACC69210C19B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20532090" y="38524815"/>
          <a:ext cx="22631400" cy="4943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" name="ID_859D302DEBE6460D9C119DAE5C1936DF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14899640" y="106622215"/>
          <a:ext cx="10029825" cy="11687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" name="ID_1FCE4503B54B480BB1D2CBC5A4470E24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14899640" y="97248980"/>
          <a:ext cx="1714500" cy="110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" name="ID_F10FFD9439DD4A0FA619E379252F4325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14899640" y="99575620"/>
          <a:ext cx="1714500" cy="111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" name="ID_8D601D7E89384EA798406965A1C4AF20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14899640" y="121827290"/>
          <a:ext cx="14077950" cy="3543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" name="ID_C536298B70FF4A6DB4CCB4808C2446C0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14899640" y="124608590"/>
          <a:ext cx="4943475" cy="3743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" name="ID_E5ED35210A1F4377B9445C12A36114A6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9961880" y="127338455"/>
          <a:ext cx="838200" cy="838200"/>
        </a:xfrm>
        <a:prstGeom prst="rect">
          <a:avLst/>
        </a:prstGeom>
      </xdr:spPr>
    </xdr:pic>
  </etc:cellImage>
  <etc:cellImage>
    <xdr:pic>
      <xdr:nvPicPr>
        <xdr:cNvPr id="155" name="ID_1C1F63CB20BF441CA8061CF086B66C9A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9961880" y="128906905"/>
          <a:ext cx="852170" cy="809625"/>
        </a:xfrm>
        <a:prstGeom prst="rect">
          <a:avLst/>
        </a:prstGeom>
      </xdr:spPr>
    </xdr:pic>
  </etc:cellImage>
  <etc:cellImage>
    <xdr:pic>
      <xdr:nvPicPr>
        <xdr:cNvPr id="156" name="ID_1836EF6B7FDB434FA9CDFFEF164E1B74"/>
        <xdr:cNvPicPr>
          <a:picLocks noChangeAspect="1"/>
        </xdr:cNvPicPr>
      </xdr:nvPicPr>
      <xdr:blipFill>
        <a:blip r:embed="rId88"/>
        <a:srcRect/>
        <a:stretch>
          <a:fillRect/>
        </a:stretch>
      </xdr:blipFill>
      <xdr:spPr>
        <a:xfrm>
          <a:off x="9961880" y="129686685"/>
          <a:ext cx="852170" cy="581025"/>
        </a:xfrm>
        <a:prstGeom prst="rect">
          <a:avLst/>
        </a:prstGeom>
      </xdr:spPr>
    </xdr:pic>
  </etc:cellImage>
  <etc:cellImage>
    <xdr:pic>
      <xdr:nvPicPr>
        <xdr:cNvPr id="157" name="ID_B8B63AF451D843948218223D83FFEFF3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34825105"/>
          <a:ext cx="852170" cy="600075"/>
        </a:xfrm>
        <a:prstGeom prst="rect">
          <a:avLst/>
        </a:prstGeom>
      </xdr:spPr>
    </xdr:pic>
  </etc:cellImage>
  <etc:cellImage>
    <xdr:pic>
      <xdr:nvPicPr>
        <xdr:cNvPr id="158" name="ID_F23CCD5520404D22AAE755F29C2EB3FD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14899640" y="134825105"/>
          <a:ext cx="4514850" cy="5457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9" name="ID_02ECBCE3B4E3479F9E8FBE7804AD730C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14899640" y="137898505"/>
          <a:ext cx="3705225" cy="2371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0" name="ID_CB7BF3470C954651BDA1E3CF1BB6B636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14899640" y="137327005"/>
          <a:ext cx="3371850" cy="2247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1" name="ID_B7EB660CC9AC486DBC7918FD23B5CE40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14899640" y="146438620"/>
          <a:ext cx="1357630" cy="12687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2" name="ID_8F3618A1F18147BC9122114FE34EF87A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49803485"/>
          <a:ext cx="852170" cy="828675"/>
        </a:xfrm>
        <a:prstGeom prst="rect">
          <a:avLst/>
        </a:prstGeom>
      </xdr:spPr>
    </xdr:pic>
  </etc:cellImage>
  <etc:cellImage>
    <xdr:pic>
      <xdr:nvPicPr>
        <xdr:cNvPr id="163" name="ID_C984A661BC264E9092142096141359CF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9961880" y="150539450"/>
          <a:ext cx="657225" cy="838200"/>
        </a:xfrm>
        <a:prstGeom prst="rect">
          <a:avLst/>
        </a:prstGeom>
      </xdr:spPr>
    </xdr:pic>
  </etc:cellImage>
  <etc:cellImage>
    <xdr:pic>
      <xdr:nvPicPr>
        <xdr:cNvPr id="164" name="ID_8955FC90E011499D92F0747BD0BE94EC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9961880" y="152244425"/>
          <a:ext cx="448310" cy="3409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5" name="ID_99C4ED40B9134E0A9581FF621A894688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9961880" y="152763855"/>
          <a:ext cx="480060" cy="3670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6" name="ID_5E94F6C8DC57490DB8773CDBF8CDC6A1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9961880" y="153130250"/>
          <a:ext cx="480060" cy="365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7" name="ID_0700B4C72BC0466E8EC812BA222CC31E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9961880" y="153509980"/>
          <a:ext cx="480060" cy="3600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8" name="ID_C5819BB7A6A340A6B6C600AF0805123A" descr="企业微信截图_17728751729948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 rot="-5400000">
          <a:off x="20531455" y="152227915"/>
          <a:ext cx="2721610" cy="11614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9" name="ID_B8E0B4FB51F44E6E82C05CA06B598802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13098780" y="158769050"/>
          <a:ext cx="5057775" cy="3514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0" name="ID_6AE92D02DACE41C98F90FC20EC22030A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13098780" y="160406715"/>
          <a:ext cx="11649075" cy="4714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1" name="ID_A4761402CCEB484D89D6C0E2402C1CD5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13098780" y="160025715"/>
          <a:ext cx="4457700" cy="4991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2" name="ID_311A89627FBE497C8D64DC24508767DC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166399845"/>
          <a:ext cx="790575" cy="838200"/>
        </a:xfrm>
        <a:prstGeom prst="rect">
          <a:avLst/>
        </a:prstGeom>
      </xdr:spPr>
    </xdr:pic>
  </etc:cellImage>
  <etc:cellImage>
    <xdr:pic>
      <xdr:nvPicPr>
        <xdr:cNvPr id="173" name="ID_8ABD4CC2671F40CCA5596DE7A97262E9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9961880" y="166209345"/>
          <a:ext cx="852170" cy="809625"/>
        </a:xfrm>
        <a:prstGeom prst="rect">
          <a:avLst/>
        </a:prstGeom>
      </xdr:spPr>
    </xdr:pic>
  </etc:cellImage>
  <etc:cellImage>
    <xdr:pic>
      <xdr:nvPicPr>
        <xdr:cNvPr id="174" name="ID_C815E6E365644F4FAF9CC517D2CEF331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66018845"/>
          <a:ext cx="852170" cy="600075"/>
        </a:xfrm>
        <a:prstGeom prst="rect">
          <a:avLst/>
        </a:prstGeom>
      </xdr:spPr>
    </xdr:pic>
  </etc:cellImage>
  <etc:cellImage>
    <xdr:pic>
      <xdr:nvPicPr>
        <xdr:cNvPr id="175" name="ID_336A58A2146649078BAF9869714E918A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65828345"/>
          <a:ext cx="852170" cy="828675"/>
        </a:xfrm>
        <a:prstGeom prst="rect">
          <a:avLst/>
        </a:prstGeom>
      </xdr:spPr>
    </xdr:pic>
  </etc:cellImage>
  <etc:cellImage>
    <xdr:pic>
      <xdr:nvPicPr>
        <xdr:cNvPr id="177" name="ID_FD365E875F7F4F89B81D48FAC0FE675E"/>
        <xdr:cNvPicPr>
          <a:picLocks noChangeAspect="1"/>
        </xdr:cNvPicPr>
      </xdr:nvPicPr>
      <xdr:blipFill>
        <a:blip r:embed="rId110"/>
        <a:srcRect/>
        <a:stretch>
          <a:fillRect/>
        </a:stretch>
      </xdr:blipFill>
      <xdr:spPr>
        <a:xfrm>
          <a:off x="9961880" y="169625645"/>
          <a:ext cx="638175" cy="838200"/>
        </a:xfrm>
        <a:prstGeom prst="rect">
          <a:avLst/>
        </a:prstGeom>
      </xdr:spPr>
    </xdr:pic>
  </etc:cellImage>
  <etc:cellImage>
    <xdr:pic>
      <xdr:nvPicPr>
        <xdr:cNvPr id="178" name="ID_D53CD61BB7D14E79B77A0B1E483F6869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9961880" y="171679235"/>
          <a:ext cx="657225" cy="838200"/>
        </a:xfrm>
        <a:prstGeom prst="rect">
          <a:avLst/>
        </a:prstGeom>
      </xdr:spPr>
    </xdr:pic>
  </etc:cellImage>
  <etc:cellImage>
    <xdr:pic>
      <xdr:nvPicPr>
        <xdr:cNvPr id="179" name="ID_C450803A1FBB4D11A3B11D7575AEE4E7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14899640" y="171959270"/>
          <a:ext cx="5372100" cy="2628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0" name="ID_1A1E631973C04FE4AF7DA1222E6F0960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15064740" y="173730285"/>
          <a:ext cx="17859375" cy="11572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1" name="ID_0657B3F3F0B14549B06DD45855A5BCDA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15064740" y="176069625"/>
          <a:ext cx="8401050" cy="1165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3" name="ID_49CFA0B838964CE48E61A657F064877E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15081885" y="443230"/>
          <a:ext cx="4563110" cy="184721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85" name="ID_49A487AAF12A4E8CAABC7AC7F62C5304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18718530" y="681355"/>
          <a:ext cx="3427730" cy="227393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86" name="ID_A784C1DAC66D40A3AA4DBB3EBF7BD8B9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9961880" y="178477545"/>
          <a:ext cx="657225" cy="838200"/>
        </a:xfrm>
        <a:prstGeom prst="rect">
          <a:avLst/>
        </a:prstGeom>
      </xdr:spPr>
    </xdr:pic>
  </etc:cellImage>
  <etc:cellImage>
    <xdr:pic>
      <xdr:nvPicPr>
        <xdr:cNvPr id="188" name="ID_981069EDAC5248B2B92EB10D5224C053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15064740" y="179701190"/>
          <a:ext cx="8058150" cy="1085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9" name="ID_CBDB4DD2D02E41559FCBBBFBB5E45379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20697190" y="179701190"/>
          <a:ext cx="11172825" cy="773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0" name="ID_FB040745A17842CB8769514C391A1B35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20697190" y="172189140"/>
          <a:ext cx="7772400" cy="6419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6" name="ID_9870FF0C10FD4067A959D8FE7FE22B70"/>
        <xdr:cNvPicPr>
          <a:picLocks noChangeAspect="1"/>
        </xdr:cNvPicPr>
      </xdr:nvPicPr>
      <xdr:blipFill>
        <a:blip r:embed="rId88"/>
        <a:srcRect/>
        <a:stretch>
          <a:fillRect/>
        </a:stretch>
      </xdr:blipFill>
      <xdr:spPr>
        <a:xfrm>
          <a:off x="9961880" y="188405770"/>
          <a:ext cx="852170" cy="581025"/>
        </a:xfrm>
        <a:prstGeom prst="rect">
          <a:avLst/>
        </a:prstGeom>
      </xdr:spPr>
    </xdr:pic>
  </etc:cellImage>
  <etc:cellImage>
    <xdr:pic>
      <xdr:nvPicPr>
        <xdr:cNvPr id="182" name="ID_5AF3D471B29D4B5C9D98A98EF767B0F3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189005845"/>
          <a:ext cx="790575" cy="1295400"/>
        </a:xfrm>
        <a:prstGeom prst="rect">
          <a:avLst/>
        </a:prstGeom>
      </xdr:spPr>
    </xdr:pic>
  </etc:cellImage>
  <etc:cellImage>
    <xdr:pic>
      <xdr:nvPicPr>
        <xdr:cNvPr id="184" name="ID_F98ED0305BAB4539A99E3FBCA13AB198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15064740" y="191634745"/>
          <a:ext cx="6743700" cy="448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7" name="ID_90A4D3CB50FA471E9495FE44510079EE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92838705"/>
          <a:ext cx="852170" cy="600075"/>
        </a:xfrm>
        <a:prstGeom prst="rect">
          <a:avLst/>
        </a:prstGeom>
      </xdr:spPr>
    </xdr:pic>
  </etc:cellImage>
  <etc:cellImage>
    <xdr:pic>
      <xdr:nvPicPr>
        <xdr:cNvPr id="191" name="ID_1B3310145A4243A1BE6D8921012EC9CA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9961880" y="193948685"/>
          <a:ext cx="657225" cy="838200"/>
        </a:xfrm>
        <a:prstGeom prst="rect">
          <a:avLst/>
        </a:prstGeom>
      </xdr:spPr>
    </xdr:pic>
  </etc:cellImage>
  <etc:cellImage>
    <xdr:pic>
      <xdr:nvPicPr>
        <xdr:cNvPr id="192" name="ID_FFBDC16C987548529BF764022FB02F09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95791455"/>
          <a:ext cx="852170" cy="828675"/>
        </a:xfrm>
        <a:prstGeom prst="rect">
          <a:avLst/>
        </a:prstGeom>
      </xdr:spPr>
    </xdr:pic>
  </etc:cellImage>
  <etc:cellImage>
    <xdr:pic>
      <xdr:nvPicPr>
        <xdr:cNvPr id="193" name="ID_1598AF5198AE4F13AD48A445BC6BFC2D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20697190" y="195791455"/>
          <a:ext cx="6343650" cy="4657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4" name="ID_0E888F0B8DC142BDAE02DD7EC8FCB5C7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15064740" y="195791455"/>
          <a:ext cx="10763250" cy="4657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5" name="ID_5B2F8AC9611142789555070C0A5C1443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201780140"/>
          <a:ext cx="852170" cy="828675"/>
        </a:xfrm>
        <a:prstGeom prst="rect">
          <a:avLst/>
        </a:prstGeom>
      </xdr:spPr>
    </xdr:pic>
  </etc:cellImage>
  <etc:cellImage>
    <xdr:pic>
      <xdr:nvPicPr>
        <xdr:cNvPr id="196" name="ID_5009E0D8BC7B499BAD62B033DF5C3507"/>
        <xdr:cNvPicPr>
          <a:picLocks noChangeAspect="1"/>
        </xdr:cNvPicPr>
      </xdr:nvPicPr>
      <xdr:blipFill>
        <a:blip r:embed="rId89"/>
        <a:srcRect/>
        <a:stretch>
          <a:fillRect/>
        </a:stretch>
      </xdr:blipFill>
      <xdr:spPr>
        <a:xfrm>
          <a:off x="9961880" y="203305410"/>
          <a:ext cx="852170" cy="809625"/>
        </a:xfrm>
        <a:prstGeom prst="rect">
          <a:avLst/>
        </a:prstGeom>
      </xdr:spPr>
    </xdr:pic>
  </etc:cellImage>
  <etc:cellImage>
    <xdr:pic>
      <xdr:nvPicPr>
        <xdr:cNvPr id="197" name="ID_97C42809ACBF40448BD2932C5552A72F"/>
        <xdr:cNvPicPr>
          <a:picLocks noChangeAspect="1"/>
        </xdr:cNvPicPr>
      </xdr:nvPicPr>
      <xdr:blipFill>
        <a:blip r:embed="rId72"/>
        <a:srcRect/>
        <a:stretch>
          <a:fillRect/>
        </a:stretch>
      </xdr:blipFill>
      <xdr:spPr>
        <a:xfrm>
          <a:off x="9961880" y="204118845"/>
          <a:ext cx="852170" cy="828675"/>
        </a:xfrm>
        <a:prstGeom prst="rect">
          <a:avLst/>
        </a:prstGeom>
      </xdr:spPr>
    </xdr:pic>
  </etc:cellImage>
  <etc:cellImage>
    <xdr:pic>
      <xdr:nvPicPr>
        <xdr:cNvPr id="198" name="ID_7BB055A3316B478898C3371941006268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9961880" y="204981810"/>
          <a:ext cx="838200" cy="838200"/>
        </a:xfrm>
        <a:prstGeom prst="rect">
          <a:avLst/>
        </a:prstGeom>
      </xdr:spPr>
    </xdr:pic>
  </etc:cellImage>
  <etc:cellImage>
    <xdr:pic>
      <xdr:nvPicPr>
        <xdr:cNvPr id="199" name="ID_4C0A5BC6189540089DA3F8B8646F97FB"/>
        <xdr:cNvPicPr>
          <a:picLocks noChangeAspect="1"/>
        </xdr:cNvPicPr>
      </xdr:nvPicPr>
      <xdr:blipFill>
        <a:blip r:embed="rId77"/>
        <a:srcRect/>
        <a:stretch>
          <a:fillRect/>
        </a:stretch>
      </xdr:blipFill>
      <xdr:spPr>
        <a:xfrm>
          <a:off x="9961880" y="205872715"/>
          <a:ext cx="828675" cy="838200"/>
        </a:xfrm>
        <a:prstGeom prst="rect">
          <a:avLst/>
        </a:prstGeom>
      </xdr:spPr>
    </xdr:pic>
  </etc:cellImage>
  <etc:cellImage>
    <xdr:pic>
      <xdr:nvPicPr>
        <xdr:cNvPr id="200" name="ID_25C5ECAAC014465B95463D84BF318C00"/>
        <xdr:cNvPicPr>
          <a:picLocks noChangeAspect="1"/>
        </xdr:cNvPicPr>
      </xdr:nvPicPr>
      <xdr:blipFill>
        <a:blip r:embed="rId122"/>
        <a:srcRect/>
        <a:stretch>
          <a:fillRect/>
        </a:stretch>
      </xdr:blipFill>
      <xdr:spPr>
        <a:xfrm>
          <a:off x="9961880" y="206747745"/>
          <a:ext cx="819150" cy="838200"/>
        </a:xfrm>
        <a:prstGeom prst="rect">
          <a:avLst/>
        </a:prstGeom>
      </xdr:spPr>
    </xdr:pic>
  </etc:cellImage>
  <etc:cellImage>
    <xdr:pic>
      <xdr:nvPicPr>
        <xdr:cNvPr id="201" name="ID_951F72BA26434BA1AC06DC23964440F0"/>
        <xdr:cNvPicPr>
          <a:picLocks noChangeAspect="1"/>
        </xdr:cNvPicPr>
      </xdr:nvPicPr>
      <xdr:blipFill>
        <a:blip r:embed="rId123"/>
        <a:srcRect/>
        <a:stretch>
          <a:fillRect/>
        </a:stretch>
      </xdr:blipFill>
      <xdr:spPr>
        <a:xfrm>
          <a:off x="9961880" y="207622775"/>
          <a:ext cx="485775" cy="838200"/>
        </a:xfrm>
        <a:prstGeom prst="rect">
          <a:avLst/>
        </a:prstGeom>
      </xdr:spPr>
    </xdr:pic>
  </etc:cellImage>
  <etc:cellImage>
    <xdr:pic>
      <xdr:nvPicPr>
        <xdr:cNvPr id="202" name="ID_E659F83EADCA495CB4D7BB311834834A"/>
        <xdr:cNvPicPr>
          <a:picLocks noChangeAspect="1"/>
        </xdr:cNvPicPr>
      </xdr:nvPicPr>
      <xdr:blipFill>
        <a:blip r:embed="rId61"/>
        <a:srcRect/>
        <a:stretch>
          <a:fillRect/>
        </a:stretch>
      </xdr:blipFill>
      <xdr:spPr>
        <a:xfrm>
          <a:off x="9961880" y="209568415"/>
          <a:ext cx="647700" cy="838200"/>
        </a:xfrm>
        <a:prstGeom prst="rect">
          <a:avLst/>
        </a:prstGeom>
      </xdr:spPr>
    </xdr:pic>
  </etc:cellImage>
  <etc:cellImage>
    <xdr:pic>
      <xdr:nvPicPr>
        <xdr:cNvPr id="203" name="ID_0AFA714943AC4C808C993487F19D3FE0"/>
        <xdr:cNvPicPr>
          <a:picLocks noChangeAspect="1"/>
        </xdr:cNvPicPr>
      </xdr:nvPicPr>
      <xdr:blipFill>
        <a:blip r:embed="rId62"/>
        <a:srcRect/>
        <a:stretch>
          <a:fillRect/>
        </a:stretch>
      </xdr:blipFill>
      <xdr:spPr>
        <a:xfrm>
          <a:off x="9961880" y="209757010"/>
          <a:ext cx="742950" cy="838200"/>
        </a:xfrm>
        <a:prstGeom prst="rect">
          <a:avLst/>
        </a:prstGeom>
      </xdr:spPr>
    </xdr:pic>
  </etc:cellImage>
  <etc:cellImage>
    <xdr:pic>
      <xdr:nvPicPr>
        <xdr:cNvPr id="204" name="ID_5621099B5D3F4D87A9AC370F502975C6"/>
        <xdr:cNvPicPr>
          <a:picLocks noChangeAspect="1"/>
        </xdr:cNvPicPr>
      </xdr:nvPicPr>
      <xdr:blipFill>
        <a:blip r:embed="rId124"/>
        <a:srcRect/>
        <a:stretch>
          <a:fillRect/>
        </a:stretch>
      </xdr:blipFill>
      <xdr:spPr>
        <a:xfrm>
          <a:off x="9961880" y="209447765"/>
          <a:ext cx="852170" cy="819150"/>
        </a:xfrm>
        <a:prstGeom prst="rect">
          <a:avLst/>
        </a:prstGeom>
      </xdr:spPr>
    </xdr:pic>
  </etc:cellImage>
  <etc:cellImage>
    <xdr:pic>
      <xdr:nvPicPr>
        <xdr:cNvPr id="207" name="ID_A1A49704A3E94C3491C4102B1EB1369A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18689955" y="186778265"/>
          <a:ext cx="8486775" cy="2400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9" name="ID_131B7B7FB96B45758E1118FB2BA0933C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15081885" y="186746515"/>
          <a:ext cx="7000875" cy="245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0" name="ID_9C0084371E604797B99E6F0B10C4A803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13291820" y="186801760"/>
          <a:ext cx="4657725" cy="1800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1" name="ID_9D41DBFF50754FC3B3461F34011E1230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9961880" y="214315675"/>
          <a:ext cx="1590675" cy="157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2" name="ID_588BE35C494F44309F4369528398C10B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15064740" y="212357970"/>
          <a:ext cx="8001000" cy="5457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3" name="ID_C59B12E29E3546A9BE662784169B1652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15064740" y="219975430"/>
          <a:ext cx="4829175" cy="6162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4" name="ID_1A212C5094A848C9A3199B04C0BA0CEA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15064740" y="219356305"/>
          <a:ext cx="4743450" cy="6543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5" name="ID_BEA6D3FBC0604C77A00E6684135F07C0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9961880" y="228903530"/>
          <a:ext cx="5743575" cy="6257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6" name="ID_F65F231025A44D098809673657870CAD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9961880" y="230610410"/>
          <a:ext cx="6600825" cy="5457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8" name="ID_AAE33DD8676E47ECB2526B2073597BE9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9961880" y="231910255"/>
          <a:ext cx="838200" cy="838200"/>
        </a:xfrm>
        <a:prstGeom prst="rect">
          <a:avLst/>
        </a:prstGeom>
      </xdr:spPr>
    </xdr:pic>
  </etc:cellImage>
  <etc:cellImage>
    <xdr:pic>
      <xdr:nvPicPr>
        <xdr:cNvPr id="219" name="ID_5D8F3E0908FE4CB3BDABA7F3D36B2CE9"/>
        <xdr:cNvPicPr>
          <a:picLocks noChangeAspect="1"/>
        </xdr:cNvPicPr>
      </xdr:nvPicPr>
      <xdr:blipFill>
        <a:blip r:embed="rId77"/>
        <a:srcRect/>
        <a:stretch>
          <a:fillRect/>
        </a:stretch>
      </xdr:blipFill>
      <xdr:spPr>
        <a:xfrm>
          <a:off x="9961880" y="233478705"/>
          <a:ext cx="828675" cy="838200"/>
        </a:xfrm>
        <a:prstGeom prst="rect">
          <a:avLst/>
        </a:prstGeom>
      </xdr:spPr>
    </xdr:pic>
  </etc:cellImage>
  <etc:cellImage>
    <xdr:pic>
      <xdr:nvPicPr>
        <xdr:cNvPr id="220" name="ID_F79E0AEE85B84290AE349E58EA96F5ED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234353735"/>
          <a:ext cx="852170" cy="600075"/>
        </a:xfrm>
        <a:prstGeom prst="rect">
          <a:avLst/>
        </a:prstGeom>
      </xdr:spPr>
    </xdr:pic>
  </etc:cellImage>
  <etc:cellImage>
    <xdr:pic>
      <xdr:nvPicPr>
        <xdr:cNvPr id="221" name="ID_578F005980BB4DAFA2F82F30D51B3921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9961880" y="234734735"/>
          <a:ext cx="657225" cy="838200"/>
        </a:xfrm>
        <a:prstGeom prst="rect">
          <a:avLst/>
        </a:prstGeom>
      </xdr:spPr>
    </xdr:pic>
  </etc:cellImage>
  <etc:cellImage>
    <xdr:pic>
      <xdr:nvPicPr>
        <xdr:cNvPr id="222" name="ID_CAE8853CDE4841C086C8EE54443B6083"/>
        <xdr:cNvPicPr>
          <a:picLocks noChangeAspect="1"/>
        </xdr:cNvPicPr>
      </xdr:nvPicPr>
      <xdr:blipFill>
        <a:blip r:embed="rId124"/>
        <a:srcRect/>
        <a:stretch>
          <a:fillRect/>
        </a:stretch>
      </xdr:blipFill>
      <xdr:spPr>
        <a:xfrm>
          <a:off x="9961880" y="237952915"/>
          <a:ext cx="852170" cy="819150"/>
        </a:xfrm>
        <a:prstGeom prst="rect">
          <a:avLst/>
        </a:prstGeom>
      </xdr:spPr>
    </xdr:pic>
  </etc:cellImage>
  <etc:cellImage>
    <xdr:pic>
      <xdr:nvPicPr>
        <xdr:cNvPr id="223" name="ID_27715AA655B54EB8B42AFDA9884EBEF3"/>
        <xdr:cNvPicPr>
          <a:picLocks noChangeAspect="1"/>
        </xdr:cNvPicPr>
      </xdr:nvPicPr>
      <xdr:blipFill>
        <a:blip r:embed="rId89"/>
        <a:srcRect/>
        <a:stretch>
          <a:fillRect/>
        </a:stretch>
      </xdr:blipFill>
      <xdr:spPr>
        <a:xfrm>
          <a:off x="9961880" y="235958380"/>
          <a:ext cx="852170" cy="809625"/>
        </a:xfrm>
        <a:prstGeom prst="rect">
          <a:avLst/>
        </a:prstGeom>
      </xdr:spPr>
    </xdr:pic>
  </etc:cellImage>
  <etc:cellImage>
    <xdr:pic>
      <xdr:nvPicPr>
        <xdr:cNvPr id="205" name="ID_EF31B37193E342A19D99C74CA0D9849A"/>
        <xdr:cNvPicPr>
          <a:picLocks noChangeAspect="1"/>
        </xdr:cNvPicPr>
      </xdr:nvPicPr>
      <xdr:blipFill>
        <a:blip r:embed="rId89"/>
        <a:srcRect/>
        <a:stretch>
          <a:fillRect/>
        </a:stretch>
      </xdr:blipFill>
      <xdr:spPr>
        <a:xfrm>
          <a:off x="9248140" y="1609725"/>
          <a:ext cx="857250" cy="809625"/>
        </a:xfrm>
        <a:prstGeom prst="rect">
          <a:avLst/>
        </a:prstGeom>
      </xdr:spPr>
    </xdr:pic>
  </etc:cellImage>
  <etc:cellImage>
    <xdr:pic>
      <xdr:nvPicPr>
        <xdr:cNvPr id="206" name="ID_D52FEA0F051B4A49B3F9259E880310E6"/>
        <xdr:cNvPicPr>
          <a:picLocks noChangeAspect="1"/>
        </xdr:cNvPicPr>
      </xdr:nvPicPr>
      <xdr:blipFill>
        <a:blip r:embed="rId72"/>
        <a:srcRect/>
        <a:stretch>
          <a:fillRect/>
        </a:stretch>
      </xdr:blipFill>
      <xdr:spPr>
        <a:xfrm>
          <a:off x="9229090" y="2565400"/>
          <a:ext cx="857250" cy="1019175"/>
        </a:xfrm>
        <a:prstGeom prst="rect">
          <a:avLst/>
        </a:prstGeom>
      </xdr:spPr>
    </xdr:pic>
  </etc:cellImage>
  <etc:cellImage>
    <xdr:pic>
      <xdr:nvPicPr>
        <xdr:cNvPr id="208" name="ID_24949B51BC7948F89B951CA1120D8606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67714930"/>
          <a:ext cx="852170" cy="828675"/>
        </a:xfrm>
        <a:prstGeom prst="rect">
          <a:avLst/>
        </a:prstGeom>
      </xdr:spPr>
    </xdr:pic>
  </etc:cellImage>
  <etc:cellImage>
    <xdr:pic>
      <xdr:nvPicPr>
        <xdr:cNvPr id="224" name="ID_E8CD580907AA47B5BBDD1CE3C5AB08DE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68019730"/>
          <a:ext cx="852170" cy="600075"/>
        </a:xfrm>
        <a:prstGeom prst="rect">
          <a:avLst/>
        </a:prstGeom>
      </xdr:spPr>
    </xdr:pic>
  </etc:cellImage>
  <etc:cellImage>
    <xdr:pic>
      <xdr:nvPicPr>
        <xdr:cNvPr id="225" name="ID_5871461D32CA4C4399237B6CD04E83A0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9961880" y="168638855"/>
          <a:ext cx="852170" cy="800100"/>
        </a:xfrm>
        <a:prstGeom prst="rect">
          <a:avLst/>
        </a:prstGeom>
      </xdr:spPr>
    </xdr:pic>
  </etc:cellImage>
  <etc:cellImage>
    <xdr:pic>
      <xdr:nvPicPr>
        <xdr:cNvPr id="226" name="ID_DCC3CE7C42A04F6DB1C9AC696B85A7D6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9961880" y="414216850"/>
          <a:ext cx="6143625" cy="5943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8" name="ID_6F5598B59DE347FCBB95116B3D8784E7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10037445" y="118256685"/>
          <a:ext cx="6657975" cy="5429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9" name="ID_46971D72BFC6409D8C5ED71791ED1AD0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9961880" y="119437785"/>
          <a:ext cx="1770380" cy="1357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0" name="ID_583436A53A5548CE95253A032F8AFB8E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9961880" y="120644920"/>
          <a:ext cx="1734820" cy="1440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1" name="ID_8B66A4378EE646A0AA7F7264AD588568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9961880" y="121949845"/>
          <a:ext cx="1772920" cy="14166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7" name="ID_05767761DF3C4DB2A543F52F89E9DB68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23206510"/>
          <a:ext cx="852170" cy="600075"/>
        </a:xfrm>
        <a:prstGeom prst="rect">
          <a:avLst/>
        </a:prstGeom>
      </xdr:spPr>
    </xdr:pic>
  </etc:cellImage>
  <etc:cellImage>
    <xdr:pic>
      <xdr:nvPicPr>
        <xdr:cNvPr id="232" name="ID_A6EE83F79CE94168A981B00C02CDA5A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24316490"/>
          <a:ext cx="852170" cy="828675"/>
        </a:xfrm>
        <a:prstGeom prst="rect">
          <a:avLst/>
        </a:prstGeom>
      </xdr:spPr>
    </xdr:pic>
  </etc:cellImage>
  <etc:cellImage>
    <xdr:pic>
      <xdr:nvPicPr>
        <xdr:cNvPr id="233" name="ID_9F88C6631F0E4FECA6DC6D5067BE434E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15064740" y="112485170"/>
          <a:ext cx="4000500" cy="434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4" name="ID_A4E7A9085D2B445CAEAA994FD1892C61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9961880" y="130619500"/>
          <a:ext cx="657225" cy="838200"/>
        </a:xfrm>
        <a:prstGeom prst="rect">
          <a:avLst/>
        </a:prstGeom>
      </xdr:spPr>
    </xdr:pic>
  </etc:cellImage>
  <etc:cellImage>
    <xdr:pic>
      <xdr:nvPicPr>
        <xdr:cNvPr id="235" name="ID_A7894C114235414D992E2ADF6B2FAEA8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961880" y="131476750"/>
          <a:ext cx="852170" cy="600075"/>
        </a:xfrm>
        <a:prstGeom prst="rect">
          <a:avLst/>
        </a:prstGeom>
      </xdr:spPr>
    </xdr:pic>
  </etc:cellImage>
  <etc:cellImage>
    <xdr:pic>
      <xdr:nvPicPr>
        <xdr:cNvPr id="236" name="ID_6430FB49AF594D0EB3C7EBC7C114655F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132095875"/>
          <a:ext cx="790575" cy="838200"/>
        </a:xfrm>
        <a:prstGeom prst="rect">
          <a:avLst/>
        </a:prstGeom>
      </xdr:spPr>
    </xdr:pic>
  </etc:cellImage>
  <etc:cellImage>
    <xdr:pic>
      <xdr:nvPicPr>
        <xdr:cNvPr id="237" name="ID_4BEF828AA0C245D3AE5AB475EBDF8D30"/>
        <xdr:cNvPicPr>
          <a:picLocks noChangeAspect="1"/>
        </xdr:cNvPicPr>
      </xdr:nvPicPr>
      <xdr:blipFill>
        <a:blip r:embed="rId62"/>
        <a:srcRect/>
        <a:stretch>
          <a:fillRect/>
        </a:stretch>
      </xdr:blipFill>
      <xdr:spPr>
        <a:xfrm>
          <a:off x="9961880" y="133572250"/>
          <a:ext cx="742950" cy="838200"/>
        </a:xfrm>
        <a:prstGeom prst="rect">
          <a:avLst/>
        </a:prstGeom>
      </xdr:spPr>
    </xdr:pic>
  </etc:cellImage>
  <etc:cellImage>
    <xdr:pic>
      <xdr:nvPicPr>
        <xdr:cNvPr id="238" name="ID_068918AD87D34CA8BEB29DDF3F8F0130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9961880" y="138725275"/>
          <a:ext cx="852170" cy="809625"/>
        </a:xfrm>
        <a:prstGeom prst="rect">
          <a:avLst/>
        </a:prstGeom>
      </xdr:spPr>
    </xdr:pic>
  </etc:cellImage>
  <etc:cellImage>
    <xdr:pic>
      <xdr:nvPicPr>
        <xdr:cNvPr id="239" name="ID_CE5CA05960CB4B3D8D4A4767C60693A1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9961880" y="139725400"/>
          <a:ext cx="790575" cy="838200"/>
        </a:xfrm>
        <a:prstGeom prst="rect">
          <a:avLst/>
        </a:prstGeom>
      </xdr:spPr>
    </xdr:pic>
  </etc:cellImage>
  <etc:cellImage>
    <xdr:pic>
      <xdr:nvPicPr>
        <xdr:cNvPr id="240" name="ID_2EE04CA633F54A21B71885B4E9B7974E"/>
        <xdr:cNvPicPr>
          <a:picLocks noChangeAspect="1"/>
        </xdr:cNvPicPr>
      </xdr:nvPicPr>
      <xdr:blipFill>
        <a:blip r:embed="rId110"/>
        <a:srcRect/>
        <a:stretch>
          <a:fillRect/>
        </a:stretch>
      </xdr:blipFill>
      <xdr:spPr>
        <a:xfrm>
          <a:off x="8159115" y="1524000"/>
          <a:ext cx="638175" cy="838200"/>
        </a:xfrm>
        <a:prstGeom prst="rect">
          <a:avLst/>
        </a:prstGeom>
      </xdr:spPr>
    </xdr:pic>
  </etc:cellImage>
  <etc:cellImage>
    <xdr:pic>
      <xdr:nvPicPr>
        <xdr:cNvPr id="241" name="ID_8A4A297C9BEA4382B7AFEBCE68FEF54E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9961880" y="144930495"/>
          <a:ext cx="2800350" cy="2962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3" name="ID_6594FCDE6A2344EB818C7AD26F22F05A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15170150" y="2707640"/>
          <a:ext cx="7000875" cy="3800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4" name="ID_16CD1C5A5DF84792B03355A100812F5C" descr="图片1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9961880" y="142638145"/>
          <a:ext cx="852170" cy="771525"/>
        </a:xfrm>
        <a:prstGeom prst="rect">
          <a:avLst/>
        </a:prstGeom>
      </xdr:spPr>
    </xdr:pic>
  </etc:cellImage>
  <etc:cellImage>
    <xdr:pic>
      <xdr:nvPicPr>
        <xdr:cNvPr id="246" name="ID_5F86625BC6AF4800A65F93160DE8EEA6"/>
        <xdr:cNvPicPr>
          <a:picLocks noChangeAspect="1"/>
        </xdr:cNvPicPr>
      </xdr:nvPicPr>
      <xdr:blipFill>
        <a:blip r:embed="rId88"/>
        <a:srcRect/>
        <a:stretch>
          <a:fillRect/>
        </a:stretch>
      </xdr:blipFill>
      <xdr:spPr>
        <a:xfrm>
          <a:off x="9966325" y="121785380"/>
          <a:ext cx="852170" cy="581025"/>
        </a:xfrm>
        <a:prstGeom prst="rect">
          <a:avLst/>
        </a:prstGeom>
      </xdr:spPr>
    </xdr:pic>
  </etc:cellImage>
  <etc:cellImage>
    <xdr:pic>
      <xdr:nvPicPr>
        <xdr:cNvPr id="253" name="ID_D77FDF2E7EE54E5AB2DE786A4B930313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61880" y="146796760"/>
          <a:ext cx="852170" cy="828675"/>
        </a:xfrm>
        <a:prstGeom prst="rect">
          <a:avLst/>
        </a:prstGeom>
      </xdr:spPr>
    </xdr:pic>
  </etc:cellImage>
  <etc:cellImage>
    <xdr:pic>
      <xdr:nvPicPr>
        <xdr:cNvPr id="255" name="ID_DE2FC3B557884B29BC64C432097D8181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15064740" y="148344255"/>
          <a:ext cx="6200775" cy="6572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6" name="ID_6215F7606C724876AC76177AFA635B57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9961880" y="151300815"/>
          <a:ext cx="1714500" cy="171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2" name="ID_A027562D8D8642ACB033C9E2BC8B1C05" descr="IMG_256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9961880" y="152869265"/>
          <a:ext cx="1276350" cy="1238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5" name="ID_CDB7B77B35094BE183888F48DB4A9A8C" descr="IMG_256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9961880" y="155010485"/>
          <a:ext cx="981075" cy="1257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7" name="ID_F03B4C688CAE4F738902194EEEE47AA3"/>
        <xdr:cNvPicPr>
          <a:picLocks noChangeAspect="1"/>
        </xdr:cNvPicPr>
      </xdr:nvPicPr>
      <xdr:blipFill>
        <a:blip r:embed="rId110"/>
        <a:srcRect/>
        <a:stretch>
          <a:fillRect/>
        </a:stretch>
      </xdr:blipFill>
      <xdr:spPr>
        <a:xfrm>
          <a:off x="9961880" y="156518610"/>
          <a:ext cx="638175" cy="1028700"/>
        </a:xfrm>
        <a:prstGeom prst="rect">
          <a:avLst/>
        </a:prstGeom>
      </xdr:spPr>
    </xdr:pic>
  </etc:cellImage>
  <etc:cellImage>
    <xdr:pic>
      <xdr:nvPicPr>
        <xdr:cNvPr id="248" name="ID_0ACFE467F81F4252BABC7D709A7E5BE7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19286220" y="159028130"/>
          <a:ext cx="5057775" cy="3228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9" name="ID_AB97EA6A1DAB4B34B828ECCA037A962E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15711805" y="157758130"/>
          <a:ext cx="5276850" cy="3257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0" name="ID_EA2221114FDA4AD190711AC0AF679F44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13917295" y="157840680"/>
          <a:ext cx="4533900" cy="3800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1" name="ID_12276EB83CD14311B4F854463720569B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13910945" y="159987615"/>
          <a:ext cx="4686300" cy="3943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2" name="ID_03B1204637C4434689BD877CCD963109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15711805" y="162292665"/>
          <a:ext cx="5200650" cy="3171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4" name="ID_31851778B6934EBDA21306C366D6A083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15711805" y="164495480"/>
          <a:ext cx="5172075" cy="3200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7" name="ID_1815AF8BA224431092858D4B52CE3B22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13910945" y="162292665"/>
          <a:ext cx="10829925" cy="9258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8" name="ID_7226BDEF944A4B77827DA05EBCECFD2B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13910945" y="164495480"/>
          <a:ext cx="10858500" cy="9115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9" name="ID_E3C1CD9B5BA9422E911D8EEBA92E88D7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15711805" y="166730045"/>
          <a:ext cx="5343525" cy="3114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0" name="ID_AE745DD0E0574CDD978D8A35BBB07F73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15711805" y="169692955"/>
          <a:ext cx="5343525" cy="3228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1" name="ID_E7FCA8F113974AF29E135B08C5058D65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14056995" y="166780210"/>
          <a:ext cx="7229475" cy="6200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2" name="ID_58FB85428C1347A9AC64C1FF1AA62671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13910945" y="168835705"/>
          <a:ext cx="7258050" cy="6600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3" name="ID_436AD3ADCA014CAABF204FD892DF23A3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13910945" y="169692955"/>
          <a:ext cx="7058025" cy="6000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5" name="ID_3294B73A1FFC4677ADE17620144269F3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8149590" y="1524000"/>
          <a:ext cx="657225" cy="838200"/>
        </a:xfrm>
        <a:prstGeom prst="rect">
          <a:avLst/>
        </a:prstGeom>
      </xdr:spPr>
    </xdr:pic>
  </etc:cellImage>
  <etc:cellImage>
    <xdr:pic>
      <xdr:nvPicPr>
        <xdr:cNvPr id="266" name="ID_214CC528BB7440DF95F58EB047D8638D"/>
        <xdr:cNvPicPr>
          <a:picLocks noChangeAspect="1"/>
        </xdr:cNvPicPr>
      </xdr:nvPicPr>
      <xdr:blipFill>
        <a:blip r:embed="rId88"/>
        <a:srcRect/>
        <a:stretch>
          <a:fillRect/>
        </a:stretch>
      </xdr:blipFill>
      <xdr:spPr>
        <a:xfrm>
          <a:off x="8063865" y="2476500"/>
          <a:ext cx="857250" cy="581025"/>
        </a:xfrm>
        <a:prstGeom prst="rect">
          <a:avLst/>
        </a:prstGeom>
      </xdr:spPr>
    </xdr:pic>
  </etc:cellImage>
  <etc:cellImage>
    <xdr:pic>
      <xdr:nvPicPr>
        <xdr:cNvPr id="267" name="ID_1C0C3F68730E47C095804792C8036B2D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8063865" y="3200400"/>
          <a:ext cx="857250" cy="828675"/>
        </a:xfrm>
        <a:prstGeom prst="rect">
          <a:avLst/>
        </a:prstGeom>
      </xdr:spPr>
    </xdr:pic>
  </etc:cellImage>
  <etc:cellImage>
    <xdr:pic>
      <xdr:nvPicPr>
        <xdr:cNvPr id="268" name="ID_A05ACB88EDA344129AD7DD725BEC65FB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0608945" y="179999005"/>
          <a:ext cx="852170" cy="828675"/>
        </a:xfrm>
        <a:prstGeom prst="rect">
          <a:avLst/>
        </a:prstGeom>
      </xdr:spPr>
    </xdr:pic>
  </etc:cellImage>
  <etc:cellImage>
    <xdr:pic>
      <xdr:nvPicPr>
        <xdr:cNvPr id="269" name="ID_B4B0E08E034A40B9A8005B07E5E516CF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19311620" y="168835705"/>
          <a:ext cx="5514975" cy="3171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0" name="ID_9EE0C8A5E95842C8B798A1F19AA90AA0"/>
        <xdr:cNvPicPr>
          <a:picLocks noChangeAspect="1"/>
        </xdr:cNvPicPr>
      </xdr:nvPicPr>
      <xdr:blipFill>
        <a:blip r:embed="rId72"/>
        <a:srcRect/>
        <a:stretch>
          <a:fillRect/>
        </a:stretch>
      </xdr:blipFill>
      <xdr:spPr>
        <a:xfrm>
          <a:off x="10608945" y="181408705"/>
          <a:ext cx="852170" cy="828675"/>
        </a:xfrm>
        <a:prstGeom prst="rect">
          <a:avLst/>
        </a:prstGeom>
      </xdr:spPr>
    </xdr:pic>
  </etc:cellImage>
  <etc:cellImage>
    <xdr:pic>
      <xdr:nvPicPr>
        <xdr:cNvPr id="271" name="ID_E387129A35D142A99475163BBA88BE55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10608945" y="182933975"/>
          <a:ext cx="852170" cy="771525"/>
        </a:xfrm>
        <a:prstGeom prst="rect">
          <a:avLst/>
        </a:prstGeom>
      </xdr:spPr>
    </xdr:pic>
  </etc:cellImage>
  <etc:cellImage>
    <xdr:pic>
      <xdr:nvPicPr>
        <xdr:cNvPr id="272" name="ID_3BE7763ABFD943FB9252106FD407EACF"/>
        <xdr:cNvPicPr>
          <a:picLocks noChangeAspect="1"/>
        </xdr:cNvPicPr>
      </xdr:nvPicPr>
      <xdr:blipFill>
        <a:blip r:embed="rId161"/>
        <a:srcRect/>
        <a:stretch>
          <a:fillRect/>
        </a:stretch>
      </xdr:blipFill>
      <xdr:spPr>
        <a:xfrm>
          <a:off x="10608945" y="183678195"/>
          <a:ext cx="852170" cy="771525"/>
        </a:xfrm>
        <a:prstGeom prst="rect">
          <a:avLst/>
        </a:prstGeom>
      </xdr:spPr>
    </xdr:pic>
  </etc:cellImage>
  <etc:cellImage>
    <xdr:pic>
      <xdr:nvPicPr>
        <xdr:cNvPr id="273" name="ID_2F79EC9A4E794DE491AF9F5F820E57D5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10608945" y="188515625"/>
          <a:ext cx="852170" cy="800100"/>
        </a:xfrm>
        <a:prstGeom prst="rect">
          <a:avLst/>
        </a:prstGeom>
      </xdr:spPr>
    </xdr:pic>
  </etc:cellImage>
  <etc:cellImage>
    <xdr:pic>
      <xdr:nvPicPr>
        <xdr:cNvPr id="274" name="ID_19A58FBDCCFF4CB5B4A970AFA0CA369D"/>
        <xdr:cNvPicPr>
          <a:picLocks noChangeAspect="1"/>
        </xdr:cNvPicPr>
      </xdr:nvPicPr>
      <xdr:blipFill>
        <a:blip r:embed="rId162"/>
        <a:srcRect/>
        <a:stretch>
          <a:fillRect/>
        </a:stretch>
      </xdr:blipFill>
      <xdr:spPr>
        <a:xfrm>
          <a:off x="10608945" y="189988825"/>
          <a:ext cx="852170" cy="771525"/>
        </a:xfrm>
        <a:prstGeom prst="rect">
          <a:avLst/>
        </a:prstGeom>
      </xdr:spPr>
    </xdr:pic>
  </etc:cellImage>
  <etc:cellImage>
    <xdr:pic>
      <xdr:nvPicPr>
        <xdr:cNvPr id="276" name="ID_069731D3F1F74EF9B8018D9FDCD57760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10608945" y="190125350"/>
          <a:ext cx="5286375" cy="4400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4" name="ID_94627F613B8D4E648DD1966AC5F312DC"/>
        <xdr:cNvPicPr>
          <a:picLocks noChangeAspect="1"/>
        </xdr:cNvPicPr>
      </xdr:nvPicPr>
      <xdr:blipFill>
        <a:blip r:embed="rId123"/>
        <a:srcRect/>
        <a:stretch>
          <a:fillRect/>
        </a:stretch>
      </xdr:blipFill>
      <xdr:spPr>
        <a:xfrm>
          <a:off x="11549380" y="206639160"/>
          <a:ext cx="485775" cy="838200"/>
        </a:xfrm>
        <a:prstGeom prst="rect">
          <a:avLst/>
        </a:prstGeom>
      </xdr:spPr>
    </xdr:pic>
  </etc:cellImage>
  <etc:cellImage>
    <xdr:pic>
      <xdr:nvPicPr>
        <xdr:cNvPr id="275" name="ID_455FAC64E89F47FBB2994A3205452210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11549380" y="207505935"/>
          <a:ext cx="657225" cy="838200"/>
        </a:xfrm>
        <a:prstGeom prst="rect">
          <a:avLst/>
        </a:prstGeom>
      </xdr:spPr>
    </xdr:pic>
  </etc:cellImage>
  <etc:cellImage>
    <xdr:pic>
      <xdr:nvPicPr>
        <xdr:cNvPr id="277" name="ID_D01ED31838974CB18AEAAFE451E52F1A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7158990" y="1543050"/>
          <a:ext cx="857250" cy="771525"/>
        </a:xfrm>
        <a:prstGeom prst="rect">
          <a:avLst/>
        </a:prstGeom>
      </xdr:spPr>
    </xdr:pic>
  </etc:cellImage>
  <etc:cellImage>
    <xdr:pic>
      <xdr:nvPicPr>
        <xdr:cNvPr id="278" name="ID_84358157A50546A4A29045832821CD65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206188945"/>
          <a:ext cx="857250" cy="600075"/>
        </a:xfrm>
        <a:prstGeom prst="rect">
          <a:avLst/>
        </a:prstGeom>
      </xdr:spPr>
    </xdr:pic>
  </etc:cellImage>
  <etc:cellImage>
    <xdr:pic>
      <xdr:nvPicPr>
        <xdr:cNvPr id="279" name="ID_77C3662580A345C6A6BD4C650AF28FB7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206931895"/>
          <a:ext cx="857250" cy="600075"/>
        </a:xfrm>
        <a:prstGeom prst="rect">
          <a:avLst/>
        </a:prstGeom>
      </xdr:spPr>
    </xdr:pic>
  </etc:cellImage>
  <etc:cellImage>
    <xdr:pic>
      <xdr:nvPicPr>
        <xdr:cNvPr id="280" name="ID_A0DEB82584E64F15A29FE4D0D2E9DF21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11549380" y="208038065"/>
          <a:ext cx="657225" cy="838200"/>
        </a:xfrm>
        <a:prstGeom prst="rect">
          <a:avLst/>
        </a:prstGeom>
      </xdr:spPr>
    </xdr:pic>
  </etc:cellImage>
  <etc:cellImage>
    <xdr:pic>
      <xdr:nvPicPr>
        <xdr:cNvPr id="281" name="ID_D19641F9A2074D40AF27D3A6CD3DED8D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1549380" y="209552540"/>
          <a:ext cx="857250" cy="828675"/>
        </a:xfrm>
        <a:prstGeom prst="rect">
          <a:avLst/>
        </a:prstGeom>
      </xdr:spPr>
    </xdr:pic>
  </etc:cellImage>
  <etc:cellImage>
    <xdr:pic>
      <xdr:nvPicPr>
        <xdr:cNvPr id="282" name="ID_292F776AA4124B9286C7AE0EB4BB94FC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16652240" y="208522570"/>
          <a:ext cx="6172200" cy="2257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3" name="ID_3E916AB2BBFC42B984ED25A8AE4523F3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16652240" y="206931895"/>
          <a:ext cx="6172200" cy="2257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4" name="ID_0E299618027D4F7F97AB7B5FDC45E24A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206931895"/>
          <a:ext cx="857250" cy="600075"/>
        </a:xfrm>
        <a:prstGeom prst="rect">
          <a:avLst/>
        </a:prstGeom>
      </xdr:spPr>
    </xdr:pic>
  </etc:cellImage>
  <etc:cellImage>
    <xdr:pic>
      <xdr:nvPicPr>
        <xdr:cNvPr id="285" name="ID_8335B8C49C5F4C3DBFF99C78FC4E4520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1549380" y="208038065"/>
          <a:ext cx="857250" cy="828675"/>
        </a:xfrm>
        <a:prstGeom prst="rect">
          <a:avLst/>
        </a:prstGeom>
      </xdr:spPr>
    </xdr:pic>
  </etc:cellImage>
  <etc:cellImage>
    <xdr:pic>
      <xdr:nvPicPr>
        <xdr:cNvPr id="286" name="ID_443E24159C944E53B2EDD767993692AC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11549380" y="538097095"/>
          <a:ext cx="850265" cy="877570"/>
        </a:xfrm>
        <a:prstGeom prst="rect">
          <a:avLst/>
        </a:prstGeom>
        <a:noFill/>
        <a:ln w="9525" cmpd="sng">
          <a:noFill/>
        </a:ln>
      </xdr:spPr>
    </xdr:pic>
  </etc:cellImage>
  <etc:cellImage>
    <xdr:pic>
      <xdr:nvPicPr>
        <xdr:cNvPr id="287" name="ID_FDFF642AAF584251976AB9CD359F3463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11549380" y="539363920"/>
          <a:ext cx="817880" cy="841375"/>
        </a:xfrm>
        <a:prstGeom prst="rect">
          <a:avLst/>
        </a:prstGeom>
        <a:noFill/>
        <a:ln w="9525" cmpd="sng">
          <a:noFill/>
        </a:ln>
      </xdr:spPr>
    </xdr:pic>
  </etc:cellImage>
  <etc:cellImage>
    <xdr:pic>
      <xdr:nvPicPr>
        <xdr:cNvPr id="288" name="ID_CD43E87449D94B3A81299F65738B7946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11549380" y="540630745"/>
          <a:ext cx="3095625" cy="2581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0" name="ID_128174076D66436C8A08793A303B7779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11549380" y="542096960"/>
          <a:ext cx="1772920" cy="14166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1" name="ID_30B9D3D7A63A4D7AA30C6DDF33E08407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11549380" y="541915985"/>
          <a:ext cx="1734820" cy="14395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2" name="ID_A7B6A0D0859E4879949D8D87F6FA9458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11549380" y="541735010"/>
          <a:ext cx="1770380" cy="1357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3" name="ID_A58872EF21774B1784899C377603A99F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16652240" y="541735010"/>
          <a:ext cx="3123565" cy="11569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4" name="ID_2A194A64C7BF4EDBBF362CD56292B678" descr="微信图片_20260706101704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11562715" y="549646475"/>
          <a:ext cx="4582795" cy="4485005"/>
        </a:xfrm>
        <a:prstGeom prst="rect">
          <a:avLst/>
        </a:prstGeom>
      </xdr:spPr>
    </xdr:pic>
  </etc:cellImage>
  <etc:cellImage>
    <xdr:pic>
      <xdr:nvPicPr>
        <xdr:cNvPr id="295" name="ID_2FF9169F8DEB4523B122A3605FF16085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550962830"/>
          <a:ext cx="857250" cy="600075"/>
        </a:xfrm>
        <a:prstGeom prst="rect">
          <a:avLst/>
        </a:prstGeom>
      </xdr:spPr>
    </xdr:pic>
  </etc:cellImage>
  <etc:cellImage>
    <xdr:pic>
      <xdr:nvPicPr>
        <xdr:cNvPr id="296" name="ID_A7E3595DF2AA4BD3B89C5CF485E90E59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11549380" y="549427400"/>
          <a:ext cx="857250" cy="800100"/>
        </a:xfrm>
        <a:prstGeom prst="rect">
          <a:avLst/>
        </a:prstGeom>
      </xdr:spPr>
    </xdr:pic>
  </etc:cellImage>
  <etc:cellImage>
    <xdr:pic>
      <xdr:nvPicPr>
        <xdr:cNvPr id="297" name="ID_D7D2698E27504F8B8DD207D745BD0519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550256075"/>
          <a:ext cx="857250" cy="600075"/>
        </a:xfrm>
        <a:prstGeom prst="rect">
          <a:avLst/>
        </a:prstGeom>
      </xdr:spPr>
    </xdr:pic>
  </etc:cellImage>
  <etc:cellImage>
    <xdr:pic>
      <xdr:nvPicPr>
        <xdr:cNvPr id="298" name="ID_1CFCE23282C6418F9A8D555284EA7C27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551362245"/>
          <a:ext cx="857250" cy="600075"/>
        </a:xfrm>
        <a:prstGeom prst="rect">
          <a:avLst/>
        </a:prstGeom>
      </xdr:spPr>
    </xdr:pic>
  </etc:cellImage>
  <etc:cellImage>
    <xdr:pic>
      <xdr:nvPicPr>
        <xdr:cNvPr id="299" name="ID_70611BBF604B494E9193A4E756926BE7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11549380" y="551990895"/>
          <a:ext cx="657225" cy="838200"/>
        </a:xfrm>
        <a:prstGeom prst="rect">
          <a:avLst/>
        </a:prstGeom>
      </xdr:spPr>
    </xdr:pic>
  </etc:cellImage>
  <etc:cellImage>
    <xdr:pic>
      <xdr:nvPicPr>
        <xdr:cNvPr id="300" name="ID_683A987E47BF40A9A1C139CCE37AEE5E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1549380" y="552380150"/>
          <a:ext cx="857250" cy="828675"/>
        </a:xfrm>
        <a:prstGeom prst="rect">
          <a:avLst/>
        </a:prstGeom>
      </xdr:spPr>
    </xdr:pic>
  </etc:cellImage>
  <etc:cellImage>
    <xdr:pic>
      <xdr:nvPicPr>
        <xdr:cNvPr id="301" name="ID_598B845AD43E45B5A5427FB5B40E4CA8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553897165"/>
          <a:ext cx="857250" cy="600075"/>
        </a:xfrm>
        <a:prstGeom prst="rect">
          <a:avLst/>
        </a:prstGeom>
      </xdr:spPr>
    </xdr:pic>
  </etc:cellImage>
  <etc:cellImage>
    <xdr:pic>
      <xdr:nvPicPr>
        <xdr:cNvPr id="302" name="ID_51E9F09889A14507B0337261C708982D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555849155"/>
          <a:ext cx="857250" cy="600075"/>
        </a:xfrm>
        <a:prstGeom prst="rect">
          <a:avLst/>
        </a:prstGeom>
      </xdr:spPr>
    </xdr:pic>
  </etc:cellImage>
  <etc:cellImage>
    <xdr:pic>
      <xdr:nvPicPr>
        <xdr:cNvPr id="303" name="ID_1B2B07382F21469580B93808EECEE5EB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1549380" y="540856170"/>
          <a:ext cx="857250" cy="1095375"/>
        </a:xfrm>
        <a:prstGeom prst="rect">
          <a:avLst/>
        </a:prstGeom>
      </xdr:spPr>
    </xdr:pic>
  </etc:cellImage>
  <etc:cellImage>
    <xdr:pic>
      <xdr:nvPicPr>
        <xdr:cNvPr id="304" name="ID_480A605894404788B6CDD1ED65D96EB4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542851975"/>
          <a:ext cx="857250" cy="600075"/>
        </a:xfrm>
        <a:prstGeom prst="rect">
          <a:avLst/>
        </a:prstGeom>
      </xdr:spPr>
    </xdr:pic>
  </etc:cellImage>
  <etc:cellImage>
    <xdr:pic>
      <xdr:nvPicPr>
        <xdr:cNvPr id="305" name="ID_C7C95F871DB04060829C111A8B234866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11549380" y="543086290"/>
          <a:ext cx="657225" cy="1104900"/>
        </a:xfrm>
        <a:prstGeom prst="rect">
          <a:avLst/>
        </a:prstGeom>
      </xdr:spPr>
    </xdr:pic>
  </etc:cellImage>
  <etc:cellImage>
    <xdr:pic>
      <xdr:nvPicPr>
        <xdr:cNvPr id="306" name="ID_A79174AC537346DCA5A92825FC27007C"/>
        <xdr:cNvPicPr>
          <a:picLocks noChangeAspect="1"/>
        </xdr:cNvPicPr>
      </xdr:nvPicPr>
      <xdr:blipFill>
        <a:blip r:embed="rId110"/>
        <a:srcRect/>
        <a:stretch>
          <a:fillRect/>
        </a:stretch>
      </xdr:blipFill>
      <xdr:spPr>
        <a:xfrm>
          <a:off x="11549380" y="545225605"/>
          <a:ext cx="638175" cy="1104900"/>
        </a:xfrm>
        <a:prstGeom prst="rect">
          <a:avLst/>
        </a:prstGeom>
      </xdr:spPr>
    </xdr:pic>
  </etc:cellImage>
  <etc:cellImage>
    <xdr:pic>
      <xdr:nvPicPr>
        <xdr:cNvPr id="307" name="ID_3BF0B0B6E7E8415EABEEA076437EFE3D"/>
        <xdr:cNvPicPr>
          <a:picLocks noChangeAspect="1"/>
        </xdr:cNvPicPr>
      </xdr:nvPicPr>
      <xdr:blipFill>
        <a:blip r:embed="rId88"/>
        <a:srcRect/>
        <a:stretch>
          <a:fillRect/>
        </a:stretch>
      </xdr:blipFill>
      <xdr:spPr>
        <a:xfrm>
          <a:off x="11549380" y="546436550"/>
          <a:ext cx="857250" cy="581025"/>
        </a:xfrm>
        <a:prstGeom prst="rect">
          <a:avLst/>
        </a:prstGeom>
      </xdr:spPr>
    </xdr:pic>
  </etc:cellImage>
  <etc:cellImage>
    <xdr:pic>
      <xdr:nvPicPr>
        <xdr:cNvPr id="308" name="ID_5AF545F05B9348E19E88C75A480A04F0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11549380" y="545947600"/>
          <a:ext cx="857250" cy="800100"/>
        </a:xfrm>
        <a:prstGeom prst="rect">
          <a:avLst/>
        </a:prstGeom>
      </xdr:spPr>
    </xdr:pic>
  </etc:cellImage>
  <etc:cellImage>
    <xdr:pic>
      <xdr:nvPicPr>
        <xdr:cNvPr id="310" name="ID_B002A403AEBD476C80292B9B0EA3D88D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16652240" y="579372730"/>
          <a:ext cx="3524250" cy="478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1" name="ID_298B57F7D3834472B066DDE758C11F01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14481175" y="584528295"/>
          <a:ext cx="5772150" cy="2190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2" name="ID_ADC8446D8EAB4EF0AA0481080D2B3D1C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16652240" y="585566520"/>
          <a:ext cx="6800850" cy="5953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3" name="ID_11EB52AC6A5647B6A2DC39463AF6F12F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588720565"/>
          <a:ext cx="857250" cy="600075"/>
        </a:xfrm>
        <a:prstGeom prst="rect">
          <a:avLst/>
        </a:prstGeom>
      </xdr:spPr>
    </xdr:pic>
  </etc:cellImage>
  <etc:cellImage>
    <xdr:pic>
      <xdr:nvPicPr>
        <xdr:cNvPr id="314" name="ID_ABEA2B9623984BDCB12390EDD768D803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11549380" y="589826735"/>
          <a:ext cx="857250" cy="771525"/>
        </a:xfrm>
        <a:prstGeom prst="rect">
          <a:avLst/>
        </a:prstGeom>
      </xdr:spPr>
    </xdr:pic>
  </etc:cellImage>
  <etc:cellImage>
    <xdr:pic>
      <xdr:nvPicPr>
        <xdr:cNvPr id="315" name="ID_A7AFC0C2B9B84DBC939AFD0FC80ED7D9"/>
        <xdr:cNvPicPr>
          <a:picLocks noChangeAspect="1"/>
        </xdr:cNvPicPr>
      </xdr:nvPicPr>
      <xdr:blipFill>
        <a:blip r:embed="rId110"/>
        <a:srcRect/>
        <a:stretch>
          <a:fillRect/>
        </a:stretch>
      </xdr:blipFill>
      <xdr:spPr>
        <a:xfrm>
          <a:off x="11549380" y="590149315"/>
          <a:ext cx="638175" cy="838200"/>
        </a:xfrm>
        <a:prstGeom prst="rect">
          <a:avLst/>
        </a:prstGeom>
      </xdr:spPr>
    </xdr:pic>
  </etc:cellImage>
  <etc:cellImage>
    <xdr:pic>
      <xdr:nvPicPr>
        <xdr:cNvPr id="316" name="ID_24A79615C27D4FB8B592E3BA7875DAF6"/>
        <xdr:cNvPicPr>
          <a:picLocks noChangeAspect="1"/>
        </xdr:cNvPicPr>
      </xdr:nvPicPr>
      <xdr:blipFill>
        <a:blip r:embed="rId124"/>
        <a:srcRect/>
        <a:stretch>
          <a:fillRect/>
        </a:stretch>
      </xdr:blipFill>
      <xdr:spPr>
        <a:xfrm>
          <a:off x="11549380" y="592200365"/>
          <a:ext cx="857250" cy="819150"/>
        </a:xfrm>
        <a:prstGeom prst="rect">
          <a:avLst/>
        </a:prstGeom>
      </xdr:spPr>
    </xdr:pic>
  </etc:cellImage>
  <etc:cellImage>
    <xdr:pic>
      <xdr:nvPicPr>
        <xdr:cNvPr id="317" name="ID_38AAE1187653497A85CB54EF6C8B1474"/>
        <xdr:cNvPicPr>
          <a:picLocks noChangeAspect="1"/>
        </xdr:cNvPicPr>
      </xdr:nvPicPr>
      <xdr:blipFill>
        <a:blip r:embed="rId110"/>
        <a:srcRect/>
        <a:stretch>
          <a:fillRect/>
        </a:stretch>
      </xdr:blipFill>
      <xdr:spPr>
        <a:xfrm>
          <a:off x="11549380" y="591863815"/>
          <a:ext cx="638175" cy="838200"/>
        </a:xfrm>
        <a:prstGeom prst="rect">
          <a:avLst/>
        </a:prstGeom>
      </xdr:spPr>
    </xdr:pic>
  </etc:cellImage>
  <etc:cellImage>
    <xdr:pic>
      <xdr:nvPicPr>
        <xdr:cNvPr id="318" name="ID_0FC42B358D474661965C0A7C4B6BD3CF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11549380" y="593914865"/>
          <a:ext cx="838200" cy="838200"/>
        </a:xfrm>
        <a:prstGeom prst="rect">
          <a:avLst/>
        </a:prstGeom>
      </xdr:spPr>
    </xdr:pic>
  </etc:cellImage>
  <etc:cellImage>
    <xdr:pic>
      <xdr:nvPicPr>
        <xdr:cNvPr id="324" name="ID_3B23FF4C6792413BBCC2E4234A4626E7" descr="b3e5dcc375a85e419071d848d934237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11905615" y="594026625"/>
          <a:ext cx="7603490" cy="7690485"/>
        </a:xfrm>
        <a:prstGeom prst="rect">
          <a:avLst/>
        </a:prstGeom>
      </xdr:spPr>
    </xdr:pic>
  </etc:cellImage>
  <etc:cellImage>
    <xdr:pic>
      <xdr:nvPicPr>
        <xdr:cNvPr id="325" name="ID_298FF282849F4EDAA0AFE80F694C5D49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17071340" y="595332820"/>
          <a:ext cx="3667125" cy="251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6" name="ID_15FCF7B55A4B45A98778A366519AAA9A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11549380" y="597809955"/>
          <a:ext cx="857250" cy="800100"/>
        </a:xfrm>
        <a:prstGeom prst="rect">
          <a:avLst/>
        </a:prstGeom>
      </xdr:spPr>
    </xdr:pic>
  </etc:cellImage>
  <etc:cellImage>
    <xdr:pic>
      <xdr:nvPicPr>
        <xdr:cNvPr id="327" name="ID_E89306C48AAD4B00AC7376CB7547CEBD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598638630"/>
          <a:ext cx="857250" cy="600075"/>
        </a:xfrm>
        <a:prstGeom prst="rect">
          <a:avLst/>
        </a:prstGeom>
      </xdr:spPr>
    </xdr:pic>
  </etc:cellImage>
  <etc:cellImage>
    <xdr:pic>
      <xdr:nvPicPr>
        <xdr:cNvPr id="328" name="ID_4E7F20C87E0643F59B206B4B692EDAC9"/>
        <xdr:cNvPicPr>
          <a:picLocks noChangeAspect="1"/>
        </xdr:cNvPicPr>
      </xdr:nvPicPr>
      <xdr:blipFill>
        <a:blip r:embed="rId175"/>
        <a:srcRect/>
        <a:stretch>
          <a:fillRect/>
        </a:stretch>
      </xdr:blipFill>
      <xdr:spPr>
        <a:xfrm>
          <a:off x="11590655" y="599898470"/>
          <a:ext cx="857250" cy="800100"/>
        </a:xfrm>
        <a:prstGeom prst="rect">
          <a:avLst/>
        </a:prstGeom>
      </xdr:spPr>
    </xdr:pic>
  </etc:cellImage>
  <etc:cellImage>
    <xdr:pic>
      <xdr:nvPicPr>
        <xdr:cNvPr id="329" name="ID_171320422BF44B8FA2B2E0977D6E0810"/>
        <xdr:cNvPicPr>
          <a:picLocks noChangeAspect="1"/>
        </xdr:cNvPicPr>
      </xdr:nvPicPr>
      <xdr:blipFill>
        <a:blip r:embed="rId110"/>
        <a:srcRect/>
        <a:stretch>
          <a:fillRect/>
        </a:stretch>
      </xdr:blipFill>
      <xdr:spPr>
        <a:xfrm>
          <a:off x="11549380" y="600732860"/>
          <a:ext cx="638175" cy="838200"/>
        </a:xfrm>
        <a:prstGeom prst="rect">
          <a:avLst/>
        </a:prstGeom>
      </xdr:spPr>
    </xdr:pic>
  </etc:cellImage>
  <etc:cellImage>
    <xdr:pic>
      <xdr:nvPicPr>
        <xdr:cNvPr id="330" name="ID_79F4FBDF96604D3693DFA97E3C60C7DA"/>
        <xdr:cNvPicPr>
          <a:picLocks noChangeAspect="1"/>
        </xdr:cNvPicPr>
      </xdr:nvPicPr>
      <xdr:blipFill>
        <a:blip r:embed="rId110"/>
        <a:srcRect/>
        <a:stretch>
          <a:fillRect/>
        </a:stretch>
      </xdr:blipFill>
      <xdr:spPr>
        <a:xfrm>
          <a:off x="11549380" y="600962730"/>
          <a:ext cx="638175" cy="838200"/>
        </a:xfrm>
        <a:prstGeom prst="rect">
          <a:avLst/>
        </a:prstGeom>
      </xdr:spPr>
    </xdr:pic>
  </etc:cellImage>
  <etc:cellImage>
    <xdr:pic>
      <xdr:nvPicPr>
        <xdr:cNvPr id="331" name="ID_69756994C33D429B94C604DDB04AD4AA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1549380" y="601829505"/>
          <a:ext cx="857250" cy="828675"/>
        </a:xfrm>
        <a:prstGeom prst="rect">
          <a:avLst/>
        </a:prstGeom>
      </xdr:spPr>
    </xdr:pic>
  </etc:cellImage>
  <etc:cellImage>
    <xdr:pic>
      <xdr:nvPicPr>
        <xdr:cNvPr id="332" name="ID_117EA729649344C28240986C29E61B49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1549380" y="603346520"/>
          <a:ext cx="857250" cy="600075"/>
        </a:xfrm>
        <a:prstGeom prst="rect">
          <a:avLst/>
        </a:prstGeom>
      </xdr:spPr>
    </xdr:pic>
  </etc:cellImage>
  <etc:cellImage>
    <xdr:pic>
      <xdr:nvPicPr>
        <xdr:cNvPr id="333" name="ID_5950DF86BFD74D99B829C4415E3256CC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11549380" y="603792925"/>
          <a:ext cx="657225" cy="838200"/>
        </a:xfrm>
        <a:prstGeom prst="rect">
          <a:avLst/>
        </a:prstGeom>
      </xdr:spPr>
    </xdr:pic>
  </etc:cellImage>
  <etc:cellImage>
    <xdr:pic>
      <xdr:nvPicPr>
        <xdr:cNvPr id="334" name="ID_663F809DD9484EA586AB90FBE43B66C2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11549380" y="605307400"/>
          <a:ext cx="838200" cy="838200"/>
        </a:xfrm>
        <a:prstGeom prst="rect">
          <a:avLst/>
        </a:prstGeom>
      </xdr:spPr>
    </xdr:pic>
  </etc:cellImage>
  <etc:cellImage>
    <xdr:pic>
      <xdr:nvPicPr>
        <xdr:cNvPr id="335" name="ID_C282B5D4FD13483F90C4225C4679DA75"/>
        <xdr:cNvPicPr>
          <a:picLocks noChangeAspect="1"/>
        </xdr:cNvPicPr>
      </xdr:nvPicPr>
      <xdr:blipFill>
        <a:blip r:embed="rId77"/>
        <a:srcRect/>
        <a:stretch>
          <a:fillRect/>
        </a:stretch>
      </xdr:blipFill>
      <xdr:spPr>
        <a:xfrm>
          <a:off x="11549380" y="605750630"/>
          <a:ext cx="828675" cy="8382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<sst xmlns="http://schemas.openxmlformats.org/spreadsheetml/2006/main" count="2813" uniqueCount="844">
  <si>
    <t>订单编号</t>
  </si>
  <si>
    <t>发货时间</t>
  </si>
  <si>
    <t>包装时间</t>
  </si>
  <si>
    <t>客户</t>
  </si>
  <si>
    <t>商品名称</t>
  </si>
  <si>
    <t>箱规</t>
  </si>
  <si>
    <t>箱数</t>
  </si>
  <si>
    <t>数    量</t>
  </si>
  <si>
    <t>单    位</t>
  </si>
  <si>
    <t>产品图片</t>
  </si>
  <si>
    <t>预期发货时间</t>
  </si>
  <si>
    <t>备注</t>
  </si>
  <si>
    <t>唛头</t>
  </si>
  <si>
    <t>外箱定制/彩盒定制</t>
  </si>
  <si>
    <t>标签</t>
  </si>
  <si>
    <t>彩盒</t>
  </si>
  <si>
    <t>发货信息</t>
  </si>
  <si>
    <t>收货地址</t>
  </si>
  <si>
    <t>是否发货</t>
  </si>
  <si>
    <t>发货人</t>
  </si>
  <si>
    <t>联系电话</t>
  </si>
  <si>
    <t>2月</t>
  </si>
  <si>
    <t>文件夹对公</t>
  </si>
  <si>
    <t>三联杂志盒</t>
  </si>
  <si>
    <t>套</t>
  </si>
  <si>
    <t>四联杂志盒</t>
  </si>
  <si>
    <t>上海毅烁</t>
  </si>
  <si>
    <t>黑色四层文件框（尖角）</t>
  </si>
  <si>
    <t>义乌市捷亚电子商务有限公司</t>
  </si>
  <si>
    <t>os-2026010801</t>
  </si>
  <si>
    <t>电商-文件框-徐宁Ivan 💥</t>
  </si>
  <si>
    <t>黑色五层圆弧文件框</t>
  </si>
  <si>
    <t>OS-2026022701</t>
  </si>
  <si>
    <t>鼎呱呱文具-雅桐</t>
  </si>
  <si>
    <t>3003-5折叠杂志架</t>
  </si>
  <si>
    <t>ABDO唛头</t>
  </si>
  <si>
    <t>NA</t>
  </si>
  <si>
    <t>PO-2026-02-0063 雅桐</t>
  </si>
  <si>
    <t>KHALED唛头</t>
  </si>
  <si>
    <t>OS-2026022702</t>
  </si>
  <si>
    <t>鼎呱呱文具-泰拓</t>
  </si>
  <si>
    <t>2001三层文件盘</t>
  </si>
  <si>
    <t>每盒贴标签</t>
  </si>
  <si>
    <t>PO-2026-02-0065 泰拓
三层文件盘的唛头印上去下  客户货号和装箱数加上去
每盒贴标签 注意需要鼎呱呱红色彩盒</t>
  </si>
  <si>
    <t>2002二层文件栏</t>
  </si>
  <si>
    <t>OS-2026030201</t>
  </si>
  <si>
    <t>鼎呱呱文具-亚给MOH</t>
  </si>
  <si>
    <t>OS-2026030202</t>
  </si>
  <si>
    <t>鼎呱呱文具永胜店面</t>
  </si>
  <si>
    <t>2001c四层文件栏</t>
  </si>
  <si>
    <t>PO-2026-02-0105 永胜
单个不含盒子克重1278g
单个做客户彩盒 彩盒覆膜
外箱印客户唛头  返2点</t>
  </si>
  <si>
    <t>OS-2026030203</t>
  </si>
  <si>
    <t>鼎呱呱文具-谦融</t>
  </si>
  <si>
    <t>普洛斯义乌物流园(北1门) 
B1-1F    1-2-3号门，进大门第二路口右拐之后左拐向前20米左手边仓库</t>
  </si>
  <si>
    <t>PO-2026-03-0055 谦融
单个做客户彩盒 彩盒覆膜 白色外箱 外箱印唛头</t>
  </si>
  <si>
    <t>OS-2026030204</t>
  </si>
  <si>
    <t>鼎呱呱文具-KARACA</t>
  </si>
  <si>
    <t>每个贴客户标签 货号+条码号</t>
  </si>
  <si>
    <t>PO-2026-03-0062 KC-15251 KARACA
773408383526375
鼎呱呱彩盒           
每个贴客户标签 货号+条码号
唛头两正两侧
加急</t>
  </si>
  <si>
    <t>OS-2026030205</t>
  </si>
  <si>
    <t>鼎呱呱-信达</t>
  </si>
  <si>
    <t>PO-2026-01-0906 深圳信达
黑色 银色混  单个贴客户标签</t>
  </si>
  <si>
    <t>OS-2026030206</t>
  </si>
  <si>
    <t>鼎呱呱-蔻可</t>
  </si>
  <si>
    <t>PO-2026-03-0005 蔻可公司</t>
  </si>
  <si>
    <t xml:space="preserve">OS-2026030301
</t>
  </si>
  <si>
    <t>弗睿网络科技（广州）有限公司</t>
  </si>
  <si>
    <t>2001三层文件栏</t>
  </si>
  <si>
    <t>泰国仓PON2603021203 +第 箱/共 箱</t>
  </si>
  <si>
    <t xml:space="preserve">OS-2026030401
</t>
  </si>
  <si>
    <t>鼎呱呱-正珈</t>
  </si>
  <si>
    <t>包送包卸 浙江正珈国际贸易有限公司
顶呱呱彩盒
贴客户标签产品套OPP袋
油漆面不能有磕碰
必须空白纸箱
必须套编织袋
唛头四面贴</t>
  </si>
  <si>
    <t>OS-2026030402</t>
  </si>
  <si>
    <t>鼎呱呱-陈训</t>
  </si>
  <si>
    <t>3003-2 二联杂志架</t>
  </si>
  <si>
    <t>陈训
加急！！！</t>
  </si>
  <si>
    <t>3003-3 三联杂志架</t>
  </si>
  <si>
    <t>3003-4 四联杂志架</t>
  </si>
  <si>
    <t>DG-2001C新四层文件栏</t>
  </si>
  <si>
    <t>2006三层横款文件栏</t>
  </si>
  <si>
    <t>DG-2007横款四层文件栏</t>
  </si>
  <si>
    <t>DG-2008铁网五层横款</t>
  </si>
  <si>
    <t>OS-2026030403</t>
  </si>
  <si>
    <t>鼎呱呱-览海</t>
  </si>
  <si>
    <t>04/15加急</t>
  </si>
  <si>
    <t>义乌市览海017单号
黑色彩盒根据客户设计印刷  --待客户提供新彩盒样式
按照我们要求(300g白卡纸裱A牛E瓦，白牛110g瓦90g）
彩盒覆膜产品包装上贴封口标
外箱印客户唛头
大货要求与样品一致
提供三个大货样
五层双加强纸箱，外箱型号不能用手写，可以用不干胶粘，所有包装标明海关码，型号，条形码，网址(除特殊标明不要)，不得更改装箱数。(胶带上不能出现其他任何公司的LOGO、标识和网址。)</t>
  </si>
  <si>
    <t>4/15 加急</t>
  </si>
  <si>
    <t>OS-2026030601</t>
  </si>
  <si>
    <t>鼎呱呱文具-优哈优公司
MB客户</t>
  </si>
  <si>
    <t>2001C四层尖四角文件盘</t>
  </si>
  <si>
    <t>优哈优公司
MB客户</t>
  </si>
  <si>
    <t>OS-2026030801</t>
  </si>
  <si>
    <t>鼎呱呱文具-翱翔（改为夸奇贸易）</t>
  </si>
  <si>
    <t>DG-2005 五层文件盘</t>
  </si>
  <si>
    <t>OS-2026030802</t>
  </si>
  <si>
    <t>鼎呱呱文具-念悠公司ML客户</t>
  </si>
  <si>
    <t>OS-2026030803</t>
  </si>
  <si>
    <t>鼎呱呱文具-浩苍</t>
  </si>
  <si>
    <t>OS-2026030804</t>
  </si>
  <si>
    <t>鼎呱呱文具-米隆</t>
  </si>
  <si>
    <t>OS-2026030805</t>
  </si>
  <si>
    <t>鼎呱呱文具-森森乐林</t>
  </si>
  <si>
    <t>2001三层文件盘 彩色（粉色）</t>
  </si>
  <si>
    <t>OS-2026030806</t>
  </si>
  <si>
    <t>陈鹏利</t>
  </si>
  <si>
    <t>OS-2026030901</t>
  </si>
  <si>
    <t>飞盛-丁玲</t>
  </si>
  <si>
    <t>671-228</t>
  </si>
  <si>
    <t>671-229</t>
  </si>
  <si>
    <t>671-230</t>
  </si>
  <si>
    <t>OS-2026030902</t>
  </si>
  <si>
    <t>鼎呱呱文具-天几国际</t>
  </si>
  <si>
    <t>单个贴标签</t>
  </si>
  <si>
    <t>OS-2026030903</t>
  </si>
  <si>
    <t>优智达</t>
  </si>
  <si>
    <t>DG-2001三层文件盘</t>
  </si>
  <si>
    <t>OS-2026030904</t>
  </si>
  <si>
    <t>9304-3三联直角</t>
  </si>
  <si>
    <t>9304-4四联直角</t>
  </si>
  <si>
    <t>OS-2026031001</t>
  </si>
  <si>
    <t>鼎呱呱文具-茉莉</t>
  </si>
  <si>
    <t>OS-2026031002</t>
  </si>
  <si>
    <t>鼎呱呱文具-宁波风暴</t>
  </si>
  <si>
    <t>外箱贴客户唛头</t>
  </si>
  <si>
    <t>DG-2001C新四层文件盘</t>
  </si>
  <si>
    <t>OS-2026031003</t>
  </si>
  <si>
    <t>鼎呱呱文具-瓦旦</t>
  </si>
  <si>
    <t>打包带</t>
  </si>
  <si>
    <t>OS-2026031101</t>
  </si>
  <si>
    <t>小标每个盒子上盖住原条形码，外箱唛头贴一正一侧</t>
  </si>
  <si>
    <t>OS-2026031102</t>
  </si>
  <si>
    <t>路达</t>
  </si>
  <si>
    <t>三联杂志盒-圆弧</t>
  </si>
  <si>
    <t>三孔，切记，切记
三孔配套白盒，上要有条形码</t>
  </si>
  <si>
    <t>四联杂志盒-圆弧</t>
  </si>
  <si>
    <t>OS-2026031103</t>
  </si>
  <si>
    <t>鼎呱呱-ZD阿富汗</t>
  </si>
  <si>
    <t>打包带 需要螺丝50包送货带给客户 贴客户唛头</t>
  </si>
  <si>
    <t>OS-2026031201</t>
  </si>
  <si>
    <t>鼎呱呱-巴里亚</t>
  </si>
  <si>
    <t>单个做客户彩盒 彩盒覆膜 外箱印唛头</t>
  </si>
  <si>
    <t>OS-2026031203</t>
  </si>
  <si>
    <t>安瑞汉特贸易有限公司</t>
  </si>
  <si>
    <t>正側2面唛头
外箱套编织袋 “# ”字打包</t>
  </si>
  <si>
    <t>OS-2026031202</t>
  </si>
  <si>
    <t>刘永军</t>
  </si>
  <si>
    <t>箱唛贴四面，
每个贴标签</t>
  </si>
  <si>
    <t>OS-2026031301</t>
  </si>
  <si>
    <t>鼎呱呱-森森乐林</t>
  </si>
  <si>
    <t>2001三层文件盘(银色)</t>
  </si>
  <si>
    <t>粉色</t>
  </si>
  <si>
    <t>OS-2026031304</t>
  </si>
  <si>
    <t>鼎呱呱-铭展</t>
  </si>
  <si>
    <t>单个贴标签 DGG盒子包装</t>
  </si>
  <si>
    <t>BM-NEG3P</t>
  </si>
  <si>
    <t>BM-NEG2P</t>
  </si>
  <si>
    <t>OS-2026031303</t>
  </si>
  <si>
    <t>鼎呱呱-康庭</t>
  </si>
  <si>
    <t>单个贴客户标签</t>
  </si>
  <si>
    <t>DG-3003-3 三联杂志架</t>
  </si>
  <si>
    <t>DG-3003-4 四联杂志架</t>
  </si>
  <si>
    <t>OS-2026031305</t>
  </si>
  <si>
    <t>2001C四层文件盘（三角形）</t>
  </si>
  <si>
    <t>四面唛头，外套编织袋</t>
  </si>
  <si>
    <t>OS-2026031306</t>
  </si>
  <si>
    <t>04/15 已发50件</t>
  </si>
  <si>
    <t>OS-2026031307</t>
  </si>
  <si>
    <t>3月22前发</t>
  </si>
  <si>
    <t>2正2侧麦</t>
  </si>
  <si>
    <t>OS-2026031401</t>
  </si>
  <si>
    <t>鼎呱呱-OKAY黄鸣华</t>
  </si>
  <si>
    <t>每个贴标签</t>
  </si>
  <si>
    <t>OS-2026031501</t>
  </si>
  <si>
    <t>鼎呱呱-玖玖贸易</t>
  </si>
  <si>
    <t>单个客户盒子  盒子覆膜  外箱印唛头</t>
  </si>
  <si>
    <t>OS-2026031502</t>
  </si>
  <si>
    <t>鼎呱呱-呈扬</t>
  </si>
  <si>
    <t>/</t>
  </si>
  <si>
    <t>做客户彩盒   做客户唛头</t>
  </si>
  <si>
    <t>丰树(义乌)产业园
浙江省金华市义乌市稠江街道荷花南街2280号一楼6B-1</t>
  </si>
  <si>
    <t>OS-2026031601</t>
  </si>
  <si>
    <t>鼎呱呱-华宇</t>
  </si>
  <si>
    <t>黑色 单个贴标签</t>
  </si>
  <si>
    <t>DG-3003-2两联杂志架</t>
  </si>
  <si>
    <t>OS-2026031603</t>
  </si>
  <si>
    <t>鼎呱呱-常规</t>
  </si>
  <si>
    <t>OS-2026031701</t>
  </si>
  <si>
    <t>朱由留-义乌阿索米</t>
  </si>
  <si>
    <t>OS-2026031702</t>
  </si>
  <si>
    <t>OS-2026031801</t>
  </si>
  <si>
    <t>2正唛2侧唛</t>
  </si>
  <si>
    <t>OS-2026031802</t>
  </si>
  <si>
    <t>加急</t>
  </si>
  <si>
    <t>OS-2026031803</t>
  </si>
  <si>
    <t>套快递袋</t>
  </si>
  <si>
    <t>OS-2026031901</t>
  </si>
  <si>
    <t>9304-5 折叠杂志架</t>
  </si>
  <si>
    <t>OS-2026032001</t>
  </si>
  <si>
    <t>鼎呱呱-浩伞</t>
  </si>
  <si>
    <t>9304-2 二联直角</t>
  </si>
  <si>
    <t>OS-2026032002</t>
  </si>
  <si>
    <t>鼎呱呱-岱力</t>
  </si>
  <si>
    <t>OS-2026032003</t>
  </si>
  <si>
    <t>金烁</t>
  </si>
  <si>
    <t>OS-2026032102</t>
  </si>
  <si>
    <t>鼎呱呱-维简</t>
  </si>
  <si>
    <t>黑色 外箱箱唛贴 单个贴客户条码</t>
  </si>
  <si>
    <t>OS-2026032103</t>
  </si>
  <si>
    <t>鼎呱呱-光加</t>
  </si>
  <si>
    <r>
      <t>彩盒使用</t>
    </r>
    <r>
      <rPr>
        <sz val="24"/>
        <rFont val="Calibri"/>
        <family val="2"/>
        <charset val="0"/>
      </rPr>
      <t>DGG</t>
    </r>
    <r>
      <rPr>
        <sz val="24"/>
        <rFont val="宋体"/>
        <charset val="134"/>
      </rPr>
      <t>红盒</t>
    </r>
  </si>
  <si>
    <t>OS-2026032104</t>
  </si>
  <si>
    <t>鼎呱呱-埃睿纳</t>
  </si>
  <si>
    <t>OS-2026032201</t>
  </si>
  <si>
    <t>兴邦</t>
  </si>
  <si>
    <t>兴邦彩盒</t>
  </si>
  <si>
    <t>OS-2026032301</t>
  </si>
  <si>
    <t>鼎呱呱-千吉</t>
  </si>
  <si>
    <t>OS-2026032401</t>
  </si>
  <si>
    <t>概伟</t>
  </si>
  <si>
    <t>OS-2026032402</t>
  </si>
  <si>
    <t>鼎呱呱-易则仓库</t>
  </si>
  <si>
    <t>2005 五层文件盘（三角形）</t>
  </si>
  <si>
    <t>OS-2026032403</t>
  </si>
  <si>
    <t>客户定制彩盒</t>
  </si>
  <si>
    <t>OS-2026032501</t>
  </si>
  <si>
    <t>鼎呱呱-南非-叶丽丽</t>
  </si>
  <si>
    <t>单个白盒 单个贴标签           外箱唛头上用英文备注颜色 标签上备注尺寸30*35*28CM  黑色</t>
  </si>
  <si>
    <t>OS-2026032502</t>
  </si>
  <si>
    <t>R-90</t>
  </si>
  <si>
    <t>OS-2026032503</t>
  </si>
  <si>
    <t>OS-2026032701</t>
  </si>
  <si>
    <t>04/08 客户催单</t>
  </si>
  <si>
    <t>OS-2026032702</t>
  </si>
  <si>
    <t>鼎呱呱-南贸</t>
  </si>
  <si>
    <t xml:space="preserve"> </t>
  </si>
  <si>
    <t>OS-2026032703</t>
  </si>
  <si>
    <t>鼎呱呱-国贸洋行</t>
  </si>
  <si>
    <t>OS-2026032801</t>
  </si>
  <si>
    <t>OS-2026033001</t>
  </si>
  <si>
    <t>鼎呱呱-航丰</t>
  </si>
  <si>
    <t>鼎呱呱外盒 外箱套编织袋</t>
  </si>
  <si>
    <t>OS-2026033002</t>
  </si>
  <si>
    <t>OS-2026033101</t>
  </si>
  <si>
    <t>OS-20260400101</t>
  </si>
  <si>
    <t>鼎呱呱-昇飞</t>
  </si>
  <si>
    <t>OS-2026040201</t>
  </si>
  <si>
    <t>OS-2026040202</t>
  </si>
  <si>
    <t>鼎呱呱-印度</t>
  </si>
  <si>
    <t>2005五层文件栏</t>
  </si>
  <si>
    <t>OS-2026040203</t>
  </si>
  <si>
    <t>OS-2026040204</t>
  </si>
  <si>
    <t>鼎呱呱白盒 外箱套编织袋</t>
  </si>
  <si>
    <t>OS-2026040205</t>
  </si>
  <si>
    <t>2026/4/23 （最晚）</t>
  </si>
  <si>
    <t>包送包卸中性彩盒定制贴标
必须空白纸箱  必须套编织袋 唛头四面贴
王字形封箱
阳光大道辅路N8号黄色铁皮仓库A区17-18号门</t>
  </si>
  <si>
    <t>浩阳仓库 浙江省金华市义乌市阳光大道辅路N8号黄色铁皮仓库A区17-18号门</t>
  </si>
  <si>
    <t>OS-2026040206</t>
  </si>
  <si>
    <t>单个白盒包装 单个贴客户标签</t>
  </si>
  <si>
    <t>OS-2026040207</t>
  </si>
  <si>
    <t>OS-2026040401</t>
  </si>
  <si>
    <t>鼎呱呱-标德芙</t>
  </si>
  <si>
    <t>2001 三层文件盘</t>
  </si>
  <si>
    <t>2002 二层文件盘</t>
  </si>
  <si>
    <t>OS-2026040402</t>
  </si>
  <si>
    <t>鼎呱呱-阿速</t>
  </si>
  <si>
    <t>2001C 四层文件盘</t>
  </si>
  <si>
    <t>3003-2 两联杂志架</t>
  </si>
  <si>
    <t>OS-2026040403</t>
  </si>
  <si>
    <t>鼎呱呱-宏宴</t>
  </si>
  <si>
    <t>黑色 每个贴标签</t>
  </si>
  <si>
    <t>OS-2026040404</t>
  </si>
  <si>
    <t>鼎呱呱-瑞源</t>
  </si>
  <si>
    <t>单个贴客户货号+任意13位条码 外箱贴客户四面唛头</t>
  </si>
  <si>
    <t>OS-2026040701</t>
  </si>
  <si>
    <t>义乌市银海国际一楼稠州北路1351号
15868924127
鲍中权</t>
  </si>
  <si>
    <t xml:space="preserve">OS-2026040801               </t>
  </si>
  <si>
    <t>鼎呱呱-鼎达</t>
  </si>
  <si>
    <t>OS-2026040802</t>
  </si>
  <si>
    <t>3003-2 两联杂志架（圆弧）</t>
  </si>
  <si>
    <t>单个贴客户标签，做客户唛头</t>
  </si>
  <si>
    <t>单个贴客户标签 做客户彩盒，做客户唛头</t>
  </si>
  <si>
    <t>OS-2026040901</t>
  </si>
  <si>
    <t>鼎呱呱-尚儒</t>
  </si>
  <si>
    <t>OS-2026041001</t>
  </si>
  <si>
    <t>鼎呱呱-江北唯资</t>
  </si>
  <si>
    <t>2006三层横款文件盘</t>
  </si>
  <si>
    <t>OS-20260012101</t>
  </si>
  <si>
    <t>鼎呱呱-艾美娜</t>
  </si>
  <si>
    <t>OS-2026041201</t>
  </si>
  <si>
    <t>奕尚</t>
  </si>
  <si>
    <t>2001 三层文件盘（毛坯)</t>
  </si>
  <si>
    <t>发货前确认全款付清才可发货</t>
  </si>
  <si>
    <t>OS-2026041202</t>
  </si>
  <si>
    <t>OS-2026041203</t>
  </si>
  <si>
    <t>外箱写  李林林   中通快运</t>
  </si>
  <si>
    <t>OS-2026041204</t>
  </si>
  <si>
    <t>鼎呱呱-东湖</t>
  </si>
  <si>
    <t>OS-2026041205</t>
  </si>
  <si>
    <t>年前货，转常规</t>
  </si>
  <si>
    <t>OS-2026041301</t>
  </si>
  <si>
    <t>外箱写2面唛头</t>
  </si>
  <si>
    <t>2001 三层文件盘(银色)</t>
  </si>
  <si>
    <t>唛头：1014</t>
  </si>
  <si>
    <t>OS-2026041302</t>
  </si>
  <si>
    <t>鼎呱呱-合信</t>
  </si>
  <si>
    <t>OS-2026041401</t>
  </si>
  <si>
    <t>鼎呱呱-爱伊家</t>
  </si>
  <si>
    <t>单个做客户彩盒 彩盒覆膜  外箱印唛头</t>
  </si>
  <si>
    <t>OS-2026041402</t>
  </si>
  <si>
    <t>鼎呱呱-贺小姐-业华</t>
  </si>
  <si>
    <t>贴客户唛头</t>
  </si>
  <si>
    <t>OS-2026041501</t>
  </si>
  <si>
    <t>鼎呱呱-赛联</t>
  </si>
  <si>
    <t>产品上自带条码  如没有条码贴客户条码</t>
  </si>
  <si>
    <t>OS-2026041502</t>
  </si>
  <si>
    <t>鼎呱呱-俄罗斯盛丰</t>
  </si>
  <si>
    <t>OS-2026041503</t>
  </si>
  <si>
    <t>鼎呱呱-巴基斯坦客户-BOSS</t>
  </si>
  <si>
    <t>年前订单</t>
  </si>
  <si>
    <t>OS-2026041901</t>
  </si>
  <si>
    <t>每个盒子贴条码，外箱一正一侧</t>
  </si>
  <si>
    <t>OS-2026042001</t>
  </si>
  <si>
    <t>鼎呱呱-翔钰063客户</t>
  </si>
  <si>
    <t>单个做客户盒子         
盒子覆膜 白色外箱 
外箱印满版四面麦头
三层明天送到义乌市后宅上河小区10幢2号      不要带其他货来了</t>
  </si>
  <si>
    <t>OS-2026042002</t>
  </si>
  <si>
    <t>鼎呱呱-安迪公司AJ客户</t>
  </si>
  <si>
    <t>OS-2026042003</t>
  </si>
  <si>
    <t>鼎呱呱-巴银</t>
  </si>
  <si>
    <t>白盒包装 印唛头</t>
  </si>
  <si>
    <t>去年订单</t>
  </si>
  <si>
    <t>OS-2026042004</t>
  </si>
  <si>
    <t>鼎呱呱-世通</t>
  </si>
  <si>
    <t>单个贴客户条码 任意13位条码</t>
  </si>
  <si>
    <t>OS-2026042005</t>
  </si>
  <si>
    <t>鼎呱呱-世通6T14</t>
  </si>
  <si>
    <t>单个贴任意13位条码</t>
  </si>
  <si>
    <t>OS-2026042101</t>
  </si>
  <si>
    <t>鼎呱呱-zhan</t>
  </si>
  <si>
    <t>每个贴标签，贴唛头</t>
  </si>
  <si>
    <t>OS-2026042102</t>
  </si>
  <si>
    <t>OS-2026042201</t>
  </si>
  <si>
    <t>DGG彩盒包装单个贴客户标签
外箱空白纸箱外箱套编制袋
四面贴客户唛头
不能有任何印刷和字体
4月27号出30件 --已发
剩下30件提前一周通知</t>
  </si>
  <si>
    <t>OS-2026042202</t>
  </si>
  <si>
    <t>2522  每箱贴2正麦</t>
  </si>
  <si>
    <t>2525  每箱贴2正麦</t>
  </si>
  <si>
    <t>OS-2026042301</t>
  </si>
  <si>
    <t>SKU：301-83397
砺唯    岚骏物流</t>
  </si>
  <si>
    <t>OS-2026042302</t>
  </si>
  <si>
    <t>OS-2026042401</t>
  </si>
  <si>
    <t>鼎呱呱-佑礼科</t>
  </si>
  <si>
    <t>2003200003084 
单个贴客户标签</t>
  </si>
  <si>
    <t>OS-2026042501</t>
  </si>
  <si>
    <t>鼎呱呱-阅洛</t>
  </si>
  <si>
    <t>客户货号加装箱就是唛头
SV-6-90</t>
  </si>
  <si>
    <t>OS-2026042502</t>
  </si>
  <si>
    <t>鼎呱呱-呈扬 HHY</t>
  </si>
  <si>
    <t>OS-2026042503</t>
  </si>
  <si>
    <t>OS-2026042601</t>
  </si>
  <si>
    <t>鼎呱呱-墨西哥王天宇</t>
  </si>
  <si>
    <t>05/09客户催单</t>
  </si>
  <si>
    <t>OS-2026042602</t>
  </si>
  <si>
    <t>鼎呱呱-巴珃</t>
  </si>
  <si>
    <t>OS-2026042701</t>
  </si>
  <si>
    <t>鼎呱呱-朵购  晗越进出口</t>
  </si>
  <si>
    <t>正侧唛头各两张</t>
  </si>
  <si>
    <t>OS-2026042702</t>
  </si>
  <si>
    <t>鼎呱呱-（呈扬贸易）WK</t>
  </si>
  <si>
    <t>鼎呱呱彩盒   做客户唛头</t>
  </si>
  <si>
    <t>OS-2026042703</t>
  </si>
  <si>
    <t>鼎呱呱-亿拓</t>
  </si>
  <si>
    <t>黑色 单个贴标签C2603唛头</t>
  </si>
  <si>
    <t>黑色 单个贴标签b2603唛头</t>
  </si>
  <si>
    <t>OS-2026042801</t>
  </si>
  <si>
    <t>每箱内黑多银少混装
外箱2侧唛</t>
  </si>
  <si>
    <t>OS-2026042802</t>
  </si>
  <si>
    <t>单个贴标签，四面外箱唛头</t>
  </si>
  <si>
    <t>OS-2026042803</t>
  </si>
  <si>
    <t>OS-20260050401</t>
  </si>
  <si>
    <t>OS-20260050402</t>
  </si>
  <si>
    <t>鼎呱呱-唐运</t>
  </si>
  <si>
    <t>做客户唛头</t>
  </si>
  <si>
    <t>OS-20260050403</t>
  </si>
  <si>
    <t>OS-20260050404</t>
  </si>
  <si>
    <t>鼎呱呱-雷川</t>
  </si>
  <si>
    <t>单个贴货号加13位
做客户唛头  侧唛
已发220件+100件</t>
  </si>
  <si>
    <t>单个贴货号加13位
做客户唛头  侧唛</t>
  </si>
  <si>
    <t>3003-1 单联杂志架</t>
  </si>
  <si>
    <t>OS-20260050405</t>
  </si>
  <si>
    <t>鼎呱呱-季苏丽</t>
  </si>
  <si>
    <t>单个贴标签  外箱套编织袋</t>
  </si>
  <si>
    <t>OS-20260050406</t>
  </si>
  <si>
    <t>鼎呱呱-奥斯卡</t>
  </si>
  <si>
    <t>每个贴客户标签</t>
  </si>
  <si>
    <t>OS-20260050407</t>
  </si>
  <si>
    <t>鼎呱呱-鼎达MS</t>
  </si>
  <si>
    <t>单个标签贴在产品上不能贴在盒子上611511288017+最后一位自动跳</t>
  </si>
  <si>
    <t>OS-20260050408</t>
  </si>
  <si>
    <t>鼎呱呱-玛昂</t>
  </si>
  <si>
    <t>混色 每个贴标签</t>
  </si>
  <si>
    <t>OS-20260050409</t>
  </si>
  <si>
    <t>鼎呱呱-惠润</t>
  </si>
  <si>
    <t>鼎呱呱彩盒     单个贴客户标签</t>
  </si>
  <si>
    <t>OS-20260050501</t>
  </si>
  <si>
    <t>鼎呱呱-旭旺</t>
  </si>
  <si>
    <t>鼎呱呱-风盈</t>
  </si>
  <si>
    <t>单个贴客户标签
外箱贴客户唛头 ELITE 唛头一箱四张，四面贴</t>
  </si>
  <si>
    <t>OS-20260050502</t>
  </si>
  <si>
    <t>OS-20260050503</t>
  </si>
  <si>
    <t>鼎呱呱-XPZ</t>
  </si>
  <si>
    <t>2001C新四层文件盘</t>
  </si>
  <si>
    <t>OS-20260050504</t>
  </si>
  <si>
    <t>OS-20260050505</t>
  </si>
  <si>
    <t>OS-20260050601</t>
  </si>
  <si>
    <t>做客户logo彩盒   做客户唛头</t>
  </si>
  <si>
    <t>贴客户唛头        单个贴客户标签</t>
  </si>
  <si>
    <t>OS-20260050701</t>
  </si>
  <si>
    <t>OS-20260050702</t>
  </si>
  <si>
    <t>外箱贴下4面唛头</t>
  </si>
  <si>
    <t>OS-20260050703</t>
  </si>
  <si>
    <t>OS-20260050801</t>
  </si>
  <si>
    <t>鼎呱呱-阿凡 陈静</t>
  </si>
  <si>
    <t>单个做客户彩盒      彩盒覆膜 外箱印唛头
所有的产品外箱都需要打工字型包带
每款货交货的时候多做5个空箱，跟大货一起送过来</t>
  </si>
  <si>
    <t>OS-20260050802</t>
  </si>
  <si>
    <t>鼎呱呱-启航 陈静</t>
  </si>
  <si>
    <t>黑色 单个贴客户条码号   做客户唛头</t>
  </si>
  <si>
    <t>OS-20260050803</t>
  </si>
  <si>
    <t>鼎呱呱-玖玖贸易 小徐</t>
  </si>
  <si>
    <t>2026/5/20 发100件</t>
  </si>
  <si>
    <t>OS-20260050804</t>
  </si>
  <si>
    <t>鼎呱呱-彼善 小徐</t>
  </si>
  <si>
    <t>单个贴条码  任意13位数字</t>
  </si>
  <si>
    <t>OS-20260050805</t>
  </si>
  <si>
    <t>鼎呱呱-呈扬 陈静</t>
  </si>
  <si>
    <t>唛头客户货号加装箱</t>
  </si>
  <si>
    <t>OS-2026050901</t>
  </si>
  <si>
    <t>电商-陈泽榕</t>
  </si>
  <si>
    <t>三层的货号：BL-10
二层的货号：BL-11</t>
  </si>
  <si>
    <t>【收件人】陈泽榕
【联系方式】13152543887-5756
【收货地址】浙江省 金华市 义乌市 福田街道 工人北路1061号汇金大厦A座313-315</t>
  </si>
  <si>
    <t>OS-2026050902</t>
  </si>
  <si>
    <t>OS-2026050903</t>
  </si>
  <si>
    <t>OS-2026051001</t>
  </si>
  <si>
    <t>董业颖</t>
  </si>
  <si>
    <t>OS-2026051101</t>
  </si>
  <si>
    <t>05/11 直接发</t>
  </si>
  <si>
    <t>外箱套编织袋
贴4面唛头</t>
  </si>
  <si>
    <t>OS-20260051001</t>
  </si>
  <si>
    <t>鼎呱呱-特蕾莎 小祝</t>
  </si>
  <si>
    <t>OS-20260051002</t>
  </si>
  <si>
    <t>鼎呱呱-OKAY黄鸣华 小徐</t>
  </si>
  <si>
    <t>OS-20260051003</t>
  </si>
  <si>
    <t>鼎呱呱-旭旺 小徐</t>
  </si>
  <si>
    <t>OS-20260051102</t>
  </si>
  <si>
    <t>鼎呱呱-蔚塔 陈静</t>
  </si>
  <si>
    <t>单个贴客户标签      
不要有中国制造</t>
  </si>
  <si>
    <t>OS-2026051102</t>
  </si>
  <si>
    <t>OS-2026051103</t>
  </si>
  <si>
    <t>鼎呱呱-飒宛 陈静</t>
  </si>
  <si>
    <t>OS-2026051201</t>
  </si>
  <si>
    <t>贴任意13位条形码
外箱2正唛</t>
  </si>
  <si>
    <t>OS-2026051202</t>
  </si>
  <si>
    <t>鼎呱呱-新亚 小祝</t>
  </si>
  <si>
    <t>2026/5/25 必须交货</t>
  </si>
  <si>
    <t>蓝盒 做客户logo彩盒   印客户唛头 +240元卸货费</t>
  </si>
  <si>
    <t>蓝盒 贴客户标签</t>
  </si>
  <si>
    <t>OS-2026051301</t>
  </si>
  <si>
    <t>鼎呱呱-鼎达 小徐</t>
  </si>
  <si>
    <t>单个贴标签  标签贴在产品上不要贴在包装上</t>
  </si>
  <si>
    <t>OS-2026051302</t>
  </si>
  <si>
    <t>OS-2026051303</t>
  </si>
  <si>
    <t>OS-2026051304</t>
  </si>
  <si>
    <t>OS-2026051306</t>
  </si>
  <si>
    <t>合丰</t>
  </si>
  <si>
    <t>OS-2026051305</t>
  </si>
  <si>
    <t>鼎呱呱-兄弟贸易 小徐</t>
  </si>
  <si>
    <t>唛头   BL  外箱贴客户唛头
单个贴标签</t>
  </si>
  <si>
    <t>OS-2026051401</t>
  </si>
  <si>
    <t>鼎呱呱-呈扬WK 陈静</t>
  </si>
  <si>
    <t>OS-2026051402</t>
  </si>
  <si>
    <t>做客户彩盒 彩盒覆膜 外箱印唛头</t>
  </si>
  <si>
    <t>OS-2026051501</t>
  </si>
  <si>
    <t>开通</t>
  </si>
  <si>
    <t>2026/5/25 发货前通知</t>
  </si>
  <si>
    <t>OS-2026051502</t>
  </si>
  <si>
    <t>鸣春贸易</t>
  </si>
  <si>
    <t xml:space="preserve">  正唛，侧唛各贴1面
义乌港二楼C区282-285，15215852586</t>
  </si>
  <si>
    <t>OS-2026051503</t>
  </si>
  <si>
    <t>义乌泰拓贸易</t>
  </si>
  <si>
    <t>OS-2026051504</t>
  </si>
  <si>
    <t>OS-2026051601</t>
  </si>
  <si>
    <t>鼎呱呱-埃睿纳 陈静</t>
  </si>
  <si>
    <t>每个贴客户标签
发货时间异常，需要确认--施易人</t>
  </si>
  <si>
    <t>OS-2026051602</t>
  </si>
  <si>
    <t>鼎呱呱-爱伊家 小祝</t>
  </si>
  <si>
    <t>OS-2026051603</t>
  </si>
  <si>
    <t>OS-2026051701</t>
  </si>
  <si>
    <t>OS-2026051801</t>
  </si>
  <si>
    <t>鼎呱呱-银曼 小祝</t>
  </si>
  <si>
    <t>做客户彩盒 彩盒覆膜外箱印唛头
发80件</t>
  </si>
  <si>
    <t>OS-2026051802</t>
  </si>
  <si>
    <t>鼎呱呱-巴基斯坦莫汉莫德 陈静</t>
  </si>
  <si>
    <t>外箱贴客户唛头BB</t>
  </si>
  <si>
    <t>OS-2026051901</t>
  </si>
  <si>
    <t>鼎呱呱-匹赛贸易 小祝</t>
  </si>
  <si>
    <t>鼎呱呱彩盒包装</t>
  </si>
  <si>
    <t>OS-2026051902</t>
  </si>
  <si>
    <t>OS-2026052001</t>
  </si>
  <si>
    <t>外箱写 杰森
当天包完放门口</t>
  </si>
  <si>
    <t>OS-2026052002</t>
  </si>
  <si>
    <t>小常 17357952936</t>
  </si>
  <si>
    <t>OS-2026052003</t>
  </si>
  <si>
    <t>3003-3 三联杂志架（圆弧）</t>
  </si>
  <si>
    <t>3003-4 四联杂志架（圆弧）</t>
  </si>
  <si>
    <t>OS-2026052101</t>
  </si>
  <si>
    <t>鼎呱呱-萨汝</t>
  </si>
  <si>
    <t>OS-2026052201</t>
  </si>
  <si>
    <t>义乌海歌</t>
  </si>
  <si>
    <t>义乌国际商贸城，童仕东13106259616
物流发货，自提，尽快</t>
  </si>
  <si>
    <t>OS-2026052202</t>
  </si>
  <si>
    <t>鼎呱呱-亚达 小祝</t>
  </si>
  <si>
    <t>单个贴客户彩标 客户提供</t>
  </si>
  <si>
    <t>OS-2026052203</t>
  </si>
  <si>
    <t>黑色 单个贴标签  外箱贴唛头              注意所有的产品外箱都需要打工字型包带
多做 5 个空箱    跟大货一起送过来</t>
  </si>
  <si>
    <t>OS-2026052204</t>
  </si>
  <si>
    <t>鼎呱呱-埃及VK 陈静</t>
  </si>
  <si>
    <t>OS-2026052205</t>
  </si>
  <si>
    <t>脉巍</t>
  </si>
  <si>
    <t>201不锈钢烤网</t>
  </si>
  <si>
    <t>OS-2026052301</t>
  </si>
  <si>
    <t>鼎呱呱-沃柔 小徐</t>
  </si>
  <si>
    <t>单个贴客户黑白标签</t>
  </si>
  <si>
    <t>OS-2026052302</t>
  </si>
  <si>
    <t>OS-2026052401</t>
  </si>
  <si>
    <t>含运费包卸货费</t>
  </si>
  <si>
    <t>OS-2026052402</t>
  </si>
  <si>
    <t>鼎呱呱-优哈优MB 陈静</t>
  </si>
  <si>
    <t>OS-2026052403</t>
  </si>
  <si>
    <t>鼎呱呱-硕塔 陈静</t>
  </si>
  <si>
    <t>做客户彩盒LOGO   做客户外箱</t>
  </si>
  <si>
    <t>OS-2026052404</t>
  </si>
  <si>
    <t>OS-2026052405</t>
  </si>
  <si>
    <t>OS-2026052501</t>
  </si>
  <si>
    <t>SKU：301-83397 
铂畅    岚骏</t>
  </si>
  <si>
    <t>OS-2026052502</t>
  </si>
  <si>
    <t>鼎呱呱-念悠ML 陈静</t>
  </si>
  <si>
    <t>2007横款四层文件栏</t>
  </si>
  <si>
    <t>作废</t>
  </si>
  <si>
    <t>2008铁网五层横款</t>
  </si>
  <si>
    <t>未作</t>
  </si>
  <si>
    <t>3003-1 单联杂志架（圆弧）</t>
  </si>
  <si>
    <t>OS-2026052503</t>
  </si>
  <si>
    <t>OS-2026052601</t>
  </si>
  <si>
    <t>OS-2026052602</t>
  </si>
  <si>
    <t>OS-2026052603</t>
  </si>
  <si>
    <t>OS-2026052604</t>
  </si>
  <si>
    <t>OS-2026052605</t>
  </si>
  <si>
    <t>鼎呱呱-亿帆 陈静</t>
  </si>
  <si>
    <t>OS-2026052606</t>
  </si>
  <si>
    <t>鼎呱呱-蔻可PO 小徐</t>
  </si>
  <si>
    <t>OS-2026052607</t>
  </si>
  <si>
    <t>鼎呱呱-易则仓库 小徐</t>
  </si>
  <si>
    <t>OS-2026052608</t>
  </si>
  <si>
    <t>鼎呱呱-基恺PO 小徐</t>
  </si>
  <si>
    <t>条形码6920237041499</t>
  </si>
  <si>
    <t>OS-2026052609</t>
  </si>
  <si>
    <t>鼎呱呱-新百特 小徐</t>
  </si>
  <si>
    <t>OS-2026052701</t>
  </si>
  <si>
    <t>客户预计不下单</t>
  </si>
  <si>
    <t xml:space="preserve">XYC
品名：中文/英文
箱规：
颜色：
装箱数： </t>
  </si>
  <si>
    <t>三联直角杂志盒</t>
  </si>
  <si>
    <t>四联直角杂志盒</t>
  </si>
  <si>
    <t>OS-2026052801</t>
  </si>
  <si>
    <t>鼎呱呱-达誉 小虞</t>
  </si>
  <si>
    <t>外箱贴箱唛：sku、装箱数量还有箱规，毛重</t>
  </si>
  <si>
    <t>OS-2026052802</t>
  </si>
  <si>
    <t>OS-2026053001</t>
  </si>
  <si>
    <t>鼎呱呱-华宇 小祝</t>
  </si>
  <si>
    <t>OS-2026053002</t>
  </si>
  <si>
    <t>鼎呱呱-黄鸣华PO 小徐</t>
  </si>
  <si>
    <t>OS-2026053003</t>
  </si>
  <si>
    <t>OS-2026053004</t>
  </si>
  <si>
    <t>OS-2026060101</t>
  </si>
  <si>
    <t>鼎呱呱-优腾 小祝</t>
  </si>
  <si>
    <t>OS-2026060201</t>
  </si>
  <si>
    <t>捷亚</t>
  </si>
  <si>
    <t>29X39x51.5，8套装 。四层箱规  尖角款
产品质量问题退回32件待补发</t>
  </si>
  <si>
    <t>产品质量问题退回32件待补发，已付全款</t>
  </si>
  <si>
    <t>OS-2026060202</t>
  </si>
  <si>
    <t>拉丁美洲</t>
  </si>
  <si>
    <t>货号：2002
6920239020027
唛头要求:印刷二正二侧</t>
  </si>
  <si>
    <t>货号：2003
6920220519028
唛头要求:印刷二正二侧</t>
  </si>
  <si>
    <t>货号：2004
6920239020041
唛头要求:印刷二正二侧</t>
  </si>
  <si>
    <t>OS-2026060203</t>
  </si>
  <si>
    <t>鼎呱呱-呈扬MSH 陈静</t>
  </si>
  <si>
    <t>客户货号加装箱侧唛贴
MSH-91</t>
  </si>
  <si>
    <t>客户货号加装箱侧唛贴
MSH-92</t>
  </si>
  <si>
    <t>OS-2026060204</t>
  </si>
  <si>
    <t>鼎呱呱-浩伞SP2602 陈静</t>
  </si>
  <si>
    <t>自带条码不用贴 没有的单个贴</t>
  </si>
  <si>
    <t>OS-2026060206</t>
  </si>
  <si>
    <t>OS-2026060301</t>
  </si>
  <si>
    <t>鼎呱呱-玖玖PO 小徐</t>
  </si>
  <si>
    <t>07/01催单</t>
  </si>
  <si>
    <t>外箱印唛头，300后面多加100件，先发100件 ，07/02发150件，07/06发100件</t>
  </si>
  <si>
    <t>先发100件</t>
  </si>
  <si>
    <t>OS-2026060302</t>
  </si>
  <si>
    <t>鼎呱呱-南美郑斌 陈静</t>
  </si>
  <si>
    <t>OS-2026060401</t>
  </si>
  <si>
    <t>鼎呱呱-智利环贸 陈静</t>
  </si>
  <si>
    <t>07/07催单</t>
  </si>
  <si>
    <t>OS-2026060402</t>
  </si>
  <si>
    <t>鼎呱呱-商翼 陈静</t>
  </si>
  <si>
    <t>OS-2026060403</t>
  </si>
  <si>
    <t>鼎呱呱-兄弟贸易 陈静</t>
  </si>
  <si>
    <t>加急  好了就发货</t>
  </si>
  <si>
    <t>OS-2026060501</t>
  </si>
  <si>
    <t>OS-2026060502</t>
  </si>
  <si>
    <t>GF103</t>
  </si>
  <si>
    <t>2002 二层文件盘（银色）</t>
  </si>
  <si>
    <t>GF102</t>
  </si>
  <si>
    <t>OS-2026060503</t>
  </si>
  <si>
    <t>鼎呱呱-宜惠 小虞</t>
  </si>
  <si>
    <t>06/08催单</t>
  </si>
  <si>
    <t>单个产品贴标签，外箱贴两正两侧唛头</t>
  </si>
  <si>
    <t>OS-2026060504</t>
  </si>
  <si>
    <t>OS-2026060601</t>
  </si>
  <si>
    <t>鼎呱呱-赛联 小祝</t>
  </si>
  <si>
    <t>OS-2026060602</t>
  </si>
  <si>
    <t>鼎呱呱-玖玖贸易BF 小徐</t>
  </si>
  <si>
    <t>单个客户盒子  盒子覆膜  外箱印唛头 500件后面加了100件，07/02发50件，07/06发120件</t>
  </si>
  <si>
    <t>OS-2026060603</t>
  </si>
  <si>
    <t>鼎呱呱-赛尔优</t>
  </si>
  <si>
    <t>OS-2026060604</t>
  </si>
  <si>
    <t>鼎呱呱-泛洋</t>
  </si>
  <si>
    <t>OS-2026060605</t>
  </si>
  <si>
    <t>OS-2026060701</t>
  </si>
  <si>
    <t>彩盒套快递袋
贴标签
唛头正侧唛</t>
  </si>
  <si>
    <t>OS-2026060702</t>
  </si>
  <si>
    <t>外箱贴唛头：9304B</t>
  </si>
  <si>
    <t>OS-2026060703</t>
  </si>
  <si>
    <t>鼎呱呱-骆加 光加 小祝</t>
  </si>
  <si>
    <t>鼎呱呱红盒 自带条码</t>
  </si>
  <si>
    <t>OS-2026060801</t>
  </si>
  <si>
    <t>2005五层文件盘</t>
  </si>
  <si>
    <t>OS-2026060901</t>
  </si>
  <si>
    <t>贴一张外箱唛头即可
8R</t>
  </si>
  <si>
    <t>OS-2026061001</t>
  </si>
  <si>
    <t>鼎呱呱-岸蕊施 小祝</t>
  </si>
  <si>
    <t>产品上自带条码不用贴 没有自带的需要贴</t>
  </si>
  <si>
    <t>OS-2026061201</t>
  </si>
  <si>
    <t>OS-2026061202</t>
  </si>
  <si>
    <t>OS-2026061203</t>
  </si>
  <si>
    <t>鼎呱呱-理想</t>
  </si>
  <si>
    <t>2009 折叠杂志架</t>
  </si>
  <si>
    <t>OS-2026061301</t>
  </si>
  <si>
    <t>鼎呱呱-南非-叶丽丽 陈静</t>
  </si>
  <si>
    <t>2026/6/22必须发货</t>
  </si>
  <si>
    <t>单个白盒 单个贴客户标签       外箱唛头上用英文备注颜色         标签上备注尺寸30*35*28CM  黑色</t>
  </si>
  <si>
    <t>OS-2026061401</t>
  </si>
  <si>
    <t>OS-2026061501</t>
  </si>
  <si>
    <t>鼎呱呱-黄鸣华OKAY 小徐</t>
  </si>
  <si>
    <t>没货了 实发7件</t>
  </si>
  <si>
    <t>已发7件剩余3件没发</t>
  </si>
  <si>
    <t>OS-2026061601</t>
  </si>
  <si>
    <t>赛雅歌</t>
  </si>
  <si>
    <t>1-40</t>
  </si>
  <si>
    <t>外箱：唛头已打
彩盒：已到</t>
  </si>
  <si>
    <t>41-457</t>
  </si>
  <si>
    <t>1-334</t>
  </si>
  <si>
    <t>335-418</t>
  </si>
  <si>
    <t>3003-2 两联杂志架（圆弧）（三根杆）</t>
  </si>
  <si>
    <t>1-10</t>
  </si>
  <si>
    <t>3003-3 三联杂志架（圆弧）（三根杆）</t>
  </si>
  <si>
    <t>11-20</t>
  </si>
  <si>
    <t>3003-4 四联杂志架（圆弧）（三根杆）</t>
  </si>
  <si>
    <t>21-40</t>
  </si>
  <si>
    <t>OS-2026061602</t>
  </si>
  <si>
    <t>鼎呱呱-宜惠 小虞 FR2606</t>
  </si>
  <si>
    <t>FR2606客户  单个产品贴标签，外箱贴二正二侧唛头</t>
  </si>
  <si>
    <t>OS-2026061603</t>
  </si>
  <si>
    <t>鼎呱呱-宜惠 小虞 HGZ</t>
  </si>
  <si>
    <t>HGZ.2606 客户   单个贴标签，外箱贴唛头</t>
  </si>
  <si>
    <t>OS-2026061604</t>
  </si>
  <si>
    <t>鼎呱呱-红花 陈静</t>
  </si>
  <si>
    <t>需要自带条码货号中国制造  没有的麻烦货号加任意13位</t>
  </si>
  <si>
    <t>OS-2026061605</t>
  </si>
  <si>
    <t>鼎呱呱-美国时代 小祝</t>
  </si>
  <si>
    <t>TIMES唛头 单个贴客户标签</t>
  </si>
  <si>
    <t>HOME唛头 单个贴客户标签</t>
  </si>
  <si>
    <t>OS-2026061606</t>
  </si>
  <si>
    <t>吕雪玲</t>
  </si>
  <si>
    <t>OS-2026061701</t>
  </si>
  <si>
    <t>鼎呱呱-托尼5号 小徐</t>
  </si>
  <si>
    <t>2001新三层文件盘</t>
  </si>
  <si>
    <t>OS-2026061801</t>
  </si>
  <si>
    <t>OS-2026062101</t>
  </si>
  <si>
    <t>OS-2026062102</t>
  </si>
  <si>
    <t>OS-2026062201</t>
  </si>
  <si>
    <t>OS-2026062202</t>
  </si>
  <si>
    <t>鼎呱呱-吴金城</t>
  </si>
  <si>
    <t>OS-2026062301</t>
  </si>
  <si>
    <t>OS-2026062401</t>
  </si>
  <si>
    <t>OS-2026062402</t>
  </si>
  <si>
    <t>鼎呱呱-聚贤外贸 陈静</t>
  </si>
  <si>
    <t>黑色8个银色4个混         单个贴客户阿拉伯文标+任意13位条码+货号+made in china</t>
  </si>
  <si>
    <t>黑色一件 银色一件          单个贴客户阿拉伯文标+任意13位条码+货号+made in china</t>
  </si>
  <si>
    <t>已打</t>
  </si>
  <si>
    <t>黑色8个银色4个混             单个贴客户阿拉伯文标+任意13位条码+货号+made in china</t>
  </si>
  <si>
    <t>OS-2026062501</t>
  </si>
  <si>
    <t>OS-2026062701</t>
  </si>
  <si>
    <t>娟子</t>
  </si>
  <si>
    <t>OS-2026062702</t>
  </si>
  <si>
    <t>鼎呱呱-枫栎 小祝</t>
  </si>
  <si>
    <t>OS-2026062801</t>
  </si>
  <si>
    <t>OS-2026062901</t>
  </si>
  <si>
    <t>鼎呱呱-优哈优MB 李欣</t>
  </si>
  <si>
    <t>MB客户  外箱贴唛头 一正一侧</t>
  </si>
  <si>
    <t>OS-2026062902</t>
  </si>
  <si>
    <t>鼎呱呱-埃及 Ahmed 迪亚布 陈静</t>
  </si>
  <si>
    <t>做客户唛头         需要自带中国制造英文  没有的单个贴
发货必须带清单 不然拒收
全部产品都需要有中国制造</t>
  </si>
  <si>
    <t>OS-2026062903</t>
  </si>
  <si>
    <t>鼎呱呱-呈扬MM 陈静</t>
  </si>
  <si>
    <t>等通知</t>
  </si>
  <si>
    <t>外箱只贴客户黑白唛头</t>
  </si>
  <si>
    <t>OS-2026063001</t>
  </si>
  <si>
    <t>鼎呱呱-雷川 陈静</t>
  </si>
  <si>
    <t>用鼎呱呱白盒                  用自带的条码货号         没有就需要贴发货必须带清单 不然拒收</t>
  </si>
  <si>
    <t>定制</t>
  </si>
  <si>
    <t>OS-2026063002</t>
  </si>
  <si>
    <t>每箱贴2正麦</t>
  </si>
  <si>
    <t>OS-2026063003</t>
  </si>
  <si>
    <t>2001C四层尖角文件盘</t>
  </si>
  <si>
    <t>OS-2026070101</t>
  </si>
  <si>
    <t>OS-2026070201</t>
  </si>
  <si>
    <t xml:space="preserve">单个必须有条码（没有的话要打印贴上去，这2个款条码号不一样），外箱贴一正一侧唛头
1.外贸箱，胶带封口必须工字型    </t>
  </si>
  <si>
    <t xml:space="preserve">单个必须有条码（没有的话要打印贴上去，这2个款条码号不一样），外箱贴一正一侧唛头
2.外贸箱，胶带封口必须工字型    </t>
  </si>
  <si>
    <t>OS-2026070202</t>
  </si>
  <si>
    <t>每箱贴2唛头 外箱贴 李启芳  岚骏</t>
  </si>
  <si>
    <t>OS-2026070203</t>
  </si>
  <si>
    <t>OS-2026070301</t>
  </si>
  <si>
    <t>OS-2026070401</t>
  </si>
  <si>
    <t>鼎呱呱-deeps公司 陈静</t>
  </si>
  <si>
    <t>历史订单</t>
  </si>
  <si>
    <t>做客户彩盒 彩盒覆膜 +2400元制版费
07/04已发35件剩25件07/06发</t>
  </si>
  <si>
    <t>做客户彩盒 彩盒覆膜 +2401元制版费</t>
  </si>
  <si>
    <t>做客户彩盒 彩盒覆膜 +2402元制版费</t>
  </si>
  <si>
    <t>OS-2026070402</t>
  </si>
  <si>
    <t>OS-2026070403</t>
  </si>
  <si>
    <t>货好了说</t>
  </si>
  <si>
    <t>OS-2026070404</t>
  </si>
  <si>
    <t>必须用正规厚的外贸纸箱，唛头印四面，两正两侧
必须将每件货具体的毛重、净重和箱规在唛头上打印好或手写好，否则拒收
每个产品需要带货号+条形码，中盒和外箱需要印刷客户正侧唛，另外也需要贴下一样的条形码
唛头要求:印刷二正二侧</t>
  </si>
  <si>
    <t>外箱：
彩盒：</t>
  </si>
  <si>
    <t>外箱：
彩盒：标签已打</t>
  </si>
  <si>
    <t>OS-2026070501</t>
  </si>
  <si>
    <t>银色 单个贴标签</t>
  </si>
  <si>
    <t>OS-2026070502</t>
  </si>
  <si>
    <t>鼎呱呱-芙罗 李欣</t>
  </si>
  <si>
    <t>OS-2026070601</t>
  </si>
  <si>
    <t>OS-2026070602</t>
  </si>
  <si>
    <t>外箱四面贴  里面的内容记得填写 不用贴标签 黑色</t>
  </si>
  <si>
    <t>OS-2026070701</t>
  </si>
  <si>
    <t>OS-2026070801</t>
  </si>
  <si>
    <t>盒子上贴标签，两侧唛 8个黑4个银</t>
  </si>
  <si>
    <t>OS-2026070802</t>
  </si>
  <si>
    <t>盒子上贴条码，条码号发客户保存，外箱两正唛印客户单色唛头，侧唛常规，外箱套编织袋再贴编织袋唛头</t>
  </si>
  <si>
    <t>9304-3 三联直角杂志盒</t>
  </si>
  <si>
    <t>OS-2026070901</t>
  </si>
  <si>
    <t>鼎呱呱-爱允 李欣</t>
  </si>
  <si>
    <t>两面贴唛头</t>
  </si>
  <si>
    <t>OS-2026070902</t>
  </si>
  <si>
    <t>鼎呱呱-华越 陈静</t>
  </si>
  <si>
    <t>OS-2026071001</t>
  </si>
  <si>
    <t>每个外箱唛头写8R</t>
  </si>
  <si>
    <t>OS-2026071002</t>
  </si>
  <si>
    <t>外箱贴两面唛头</t>
  </si>
  <si>
    <t>OS-2026071003</t>
  </si>
  <si>
    <t>鼎呱呱-马来西亚BM 陈静</t>
  </si>
  <si>
    <t>9304-4四联直角杂志架</t>
  </si>
  <si>
    <t>备好等通知出货</t>
  </si>
  <si>
    <t>OS-2026071004</t>
  </si>
  <si>
    <t>鼎呱呱-吒漫 小祝</t>
  </si>
  <si>
    <t>做客户LOGO彩盒</t>
  </si>
  <si>
    <t>2001三层文件盘 彩色</t>
  </si>
  <si>
    <t>粉色 绿色 蓝色混  做客户彩盒</t>
  </si>
  <si>
    <t>OS-2026071005</t>
  </si>
  <si>
    <t>OS-2026071101</t>
  </si>
  <si>
    <t>鼎呱呱-恩飒 陈静</t>
  </si>
  <si>
    <t>如果产品上有货号+条形码+made in china的可不用贴 要是三项缺一  必须要单个贴标签</t>
  </si>
  <si>
    <t>2007横款四层文件盘</t>
  </si>
  <si>
    <t>客户信息</t>
  </si>
  <si>
    <t>序号</t>
  </si>
  <si>
    <t>客户名称</t>
  </si>
  <si>
    <t>地址</t>
  </si>
  <si>
    <t>联系人微信</t>
  </si>
  <si>
    <t>产品</t>
  </si>
  <si>
    <t>价格</t>
  </si>
  <si>
    <t>价格（含税）</t>
  </si>
  <si>
    <t>义乌市槿睿贸易有限公司
91330782MA8GUK4505</t>
  </si>
  <si>
    <t>仓库地址：浙江省义乌市廿三里街道陈陀村62栋1楼
仓库收货时间周一到周日：8：30-18：00
 15372959912</t>
  </si>
  <si>
    <t xml:space="preserve">
微信群：文件夹对公</t>
  </si>
  <si>
    <t>欠4件黑色四层文件栏</t>
  </si>
  <si>
    <t>上海毅烁供应链管理有限公司</t>
  </si>
  <si>
    <t>上海市普陀区祁连山南路2891弄100号C211室</t>
  </si>
  <si>
    <t>王静
微信群：【金属收纳架】永康欧硕工贸-上海</t>
  </si>
  <si>
    <t>四层尖角文件栏 需要套快递袋，且每个商品贴标签，箱唛左右两边贴（非对向）
商品备注：
(1)、颜色：黑色/银色(无LOGO)； (2)、零件清单：胶套*4+脚架*2+铁艺网格托盘*4+螺
丝*6； (3)、彩盒材质：250面纸加A牛E瓦加强，三边封口+快递袋； (4)、包装要求：外
箱5层瓦楞纸盒（上架胶布封口贴唛头） (5)、快递袋上贴SKU标签（铜版标签纸打印，尺寸
6*4cm或10*5cm，实物标签必须支付宝可扫码正常，参考线下图片）; (6)、外箱贴箱唛
（铜版标签纸打印，尺寸10*15cm,侧面临唛，一边一个，参考线下图片） (7)、产品与内盒外箱上不能出现工厂信息与logo等</t>
  </si>
  <si>
    <t>亚马逊仓库地址：
义乌市四海大道红狮物流园二区D19栋 H1电梯5楼/京东良品（亚马逊部）
伏龙山路 ，二区正大门，进门左转走到底就是 
徐雨珊 17305795294</t>
  </si>
  <si>
    <t>文件栏-京东良品sp sauce 徐雨珊
tb478625101  LV6
义乌市京东良品有限公司</t>
  </si>
  <si>
    <t>58X29X39，重量约12kg  三层箱规 10个装
29X39x51.5，8套装 。四层箱规  尖角款</t>
  </si>
  <si>
    <t>义乌兴邦文具</t>
  </si>
  <si>
    <t>义乌市稠州北路1351号，银海国际一楼，兴邦文具 18378333808</t>
  </si>
  <si>
    <t>微信群：欧硕-兴邦采购群（铁网）</t>
  </si>
  <si>
    <t>9304-2二联直角</t>
  </si>
  <si>
    <t>宁波优智达办公用品有限公司</t>
  </si>
  <si>
    <t>微信群：欧硕-优智达</t>
  </si>
  <si>
    <t>含税含运送到宁波
50件以下费用自付</t>
  </si>
  <si>
    <t>鼎呱呱</t>
  </si>
  <si>
    <t>江省义乌市国际商贸城52号门二楼12街H2-23584 鼎呱呱文具 13867910113</t>
  </si>
  <si>
    <t>微信群：欧硕下单群鼎呱呱</t>
  </si>
  <si>
    <t>横款三层文件栏</t>
  </si>
  <si>
    <t>横款四层文件栏</t>
  </si>
  <si>
    <t>义乌货运中心自提</t>
  </si>
  <si>
    <t>啊宋米</t>
  </si>
  <si>
    <t>03-10之前
2002二层文件栏 10.5
2001三层文件栏 12.5
2001c四层文件栏 15.6</t>
  </si>
  <si>
    <t>三联圆弧（三根杠）</t>
  </si>
  <si>
    <t>四联圆弧（三根杠）</t>
  </si>
  <si>
    <t>义乌市灏蓝进出口有限公司</t>
  </si>
  <si>
    <t>【收件人】徐洪辉
【联系方式】19548816408
【收货地址】浙江省 金华市 义乌市 稠江街道公路港18号综合楼1003-1</t>
  </si>
  <si>
    <t>电商-文件框   灏蓝  Carrie</t>
  </si>
  <si>
    <t>电商-文件框 latin</t>
  </si>
  <si>
    <t>义乌深国际B1-1-2 欧万物流1号门，19557958297王</t>
  </si>
  <si>
    <t>三层尖角文件框 12.6 100件送货上门，包卸货</t>
  </si>
  <si>
    <t xml:space="preserve">义乌市义乌港C区二楼288号仓库
海蝶文具 
电话：1356788 4281 </t>
  </si>
  <si>
    <t>不含税运，40件运费一般收40，量少加一点</t>
  </si>
  <si>
    <t>18958444209程/13606896051老外</t>
  </si>
  <si>
    <t>地址 义乌港三楼D区513-517
18958444270 小马 
 周四到仓库10点开始收货</t>
  </si>
  <si>
    <t>安瑞汉特 程晨</t>
  </si>
  <si>
    <t>价格是到义乌仓库卸货的价格
开票加10个点</t>
  </si>
  <si>
    <t>李超 15697888152</t>
  </si>
  <si>
    <t>义乌廿三里街道华盛路888号b栋三楼 李超 15697888152</t>
  </si>
  <si>
    <t>AT028欧硕文件栏 阿索米对接群</t>
  </si>
  <si>
    <t>9304-2二联圆弧</t>
  </si>
  <si>
    <t>5月份</t>
  </si>
  <si>
    <t>杨家礼</t>
  </si>
  <si>
    <t>黄初琴</t>
  </si>
  <si>
    <t>客户发货信息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</si>
</sst>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m&quot;月&quot;d&quot;日&quot;;@"/>
    <numFmt numFmtId="178" formatCode="0_ "/>
  </numFmts>
  <fonts count="34">
    <font>
      <sz val="12"/>
      <name val="宋体"/>
      <charset val="134"/>
    </font>
    <font>
      <sz val="11"/>
      <color rgb="FF000000"/>
      <name val="宋体"/>
      <charset val="134"/>
    </font>
    <font>
      <b/>
      <sz val="12"/>
      <color theme="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rgb="FFFFFFFF"/>
      <name val="宋体"/>
      <charset val="134"/>
    </font>
    <font>
      <b/>
      <sz val="12"/>
      <color theme="1"/>
      <name val="宋体"/>
      <charset val="134"/>
    </font>
    <font>
      <sz val="10"/>
      <name val="思源黑体 CN Medium"/>
      <charset val="1"/>
    </font>
    <font>
      <sz val="12"/>
      <color rgb="FF000000"/>
      <name val="宋体"/>
      <charset val="134"/>
    </font>
    <font>
      <b/>
      <sz val="11"/>
      <color indexed="8"/>
      <name val="宋体"/>
      <charset val="134"/>
    </font>
    <font>
      <sz val="24"/>
      <name val="宋体"/>
      <charset val="134"/>
    </font>
    <font>
      <b/>
      <sz val="14"/>
      <color rgb="FF000000"/>
      <name val="宋体"/>
      <charset val="134"/>
    </font>
    <font>
      <b/>
      <sz val="10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24"/>
      <name val="Calibri"/>
      <family val="2"/>
      <charset val="0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A0D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899990844447157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25" fillId="14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177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1" fillId="0" borderId="1" xfId="0" applyFont="1" applyFill="1" applyBorder="1" applyAlignment="1" applyProtection="1">
      <alignment horizontal="left" vertical="top" wrapText="1"/>
      <protection locked="0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/>
    </xf>
    <xf numFmtId="0" fontId="0" fillId="0" borderId="3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177" fontId="5" fillId="6" borderId="1" xfId="0" applyNumberFormat="1" applyFont="1" applyFill="1" applyBorder="1" applyAlignment="1" applyProtection="1">
      <alignment horizontal="left" vertical="top" wrapText="1"/>
      <protection locked="0"/>
    </xf>
    <xf numFmtId="0" fontId="5" fillId="6" borderId="1" xfId="0" applyFont="1" applyFill="1" applyBorder="1" applyAlignment="1" applyProtection="1">
      <alignment horizontal="left" vertical="top" wrapText="1"/>
      <protection locked="0"/>
    </xf>
    <xf numFmtId="178" fontId="5" fillId="6" borderId="1" xfId="0" applyNumberFormat="1" applyFont="1" applyFill="1" applyBorder="1" applyAlignment="1" applyProtection="1">
      <alignment horizontal="left" vertical="top" wrapText="1"/>
      <protection locked="0"/>
    </xf>
    <xf numFmtId="0" fontId="1" fillId="7" borderId="1" xfId="0" applyFont="1" applyFill="1" applyBorder="1" applyAlignment="1">
      <alignment vertical="center" wrapText="1"/>
    </xf>
    <xf numFmtId="177" fontId="1" fillId="7" borderId="1" xfId="0" applyNumberFormat="1" applyFont="1" applyFill="1" applyBorder="1" applyAlignment="1">
      <alignment vertical="center" wrapText="1"/>
    </xf>
    <xf numFmtId="0" fontId="1" fillId="7" borderId="1" xfId="0" applyFont="1" applyFill="1" applyBorder="1" applyAlignment="1" applyProtection="1">
      <alignment horizontal="center" vertical="center" wrapText="1"/>
      <protection locked="0"/>
    </xf>
    <xf numFmtId="0" fontId="6" fillId="8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14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top" wrapText="1"/>
    </xf>
    <xf numFmtId="177" fontId="1" fillId="9" borderId="1" xfId="0" applyNumberFormat="1" applyFont="1" applyFill="1" applyBorder="1" applyAlignment="1">
      <alignment horizontal="left" vertical="top" wrapText="1"/>
    </xf>
    <xf numFmtId="177" fontId="1" fillId="9" borderId="1" xfId="0" applyNumberFormat="1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 applyProtection="1">
      <alignment horizontal="left" vertical="top" wrapText="1"/>
      <protection locked="0"/>
    </xf>
    <xf numFmtId="0" fontId="1" fillId="7" borderId="1" xfId="0" applyFont="1" applyFill="1" applyBorder="1" applyAlignment="1">
      <alignment horizontal="left" vertical="top" wrapText="1"/>
    </xf>
    <xf numFmtId="177" fontId="1" fillId="7" borderId="1" xfId="0" applyNumberFormat="1" applyFont="1" applyFill="1" applyBorder="1" applyAlignment="1">
      <alignment horizontal="left" vertical="top" wrapText="1"/>
    </xf>
    <xf numFmtId="177" fontId="1" fillId="7" borderId="1" xfId="0" applyNumberFormat="1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 applyProtection="1">
      <alignment horizontal="left" vertical="top" wrapText="1"/>
      <protection locked="0"/>
    </xf>
    <xf numFmtId="58" fontId="1" fillId="9" borderId="1" xfId="0" applyNumberFormat="1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vertical="top" wrapText="1"/>
    </xf>
    <xf numFmtId="58" fontId="1" fillId="7" borderId="1" xfId="0" applyNumberFormat="1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left" vertical="center" wrapText="1"/>
    </xf>
    <xf numFmtId="58" fontId="1" fillId="7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>
      <alignment horizontal="left" vertical="top"/>
    </xf>
    <xf numFmtId="177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177" fontId="0" fillId="0" borderId="1" xfId="0" applyNumberFormat="1" applyFill="1" applyBorder="1" applyAlignment="1">
      <alignment vertical="top"/>
    </xf>
    <xf numFmtId="0" fontId="1" fillId="0" borderId="1" xfId="0" applyFont="1" applyFill="1" applyBorder="1" applyAlignment="1" applyProtection="1">
      <alignment horizontal="center" vertical="top" wrapText="1"/>
      <protection locked="0"/>
    </xf>
    <xf numFmtId="0" fontId="8" fillId="3" borderId="1" xfId="0" applyFont="1" applyFill="1" applyBorder="1" applyAlignment="1">
      <alignment horizontal="left" vertical="center" wrapText="1"/>
    </xf>
    <xf numFmtId="177" fontId="0" fillId="3" borderId="1" xfId="0" applyNumberForma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 applyProtection="1">
      <alignment horizontal="left" vertical="center" wrapText="1"/>
      <protection locked="0"/>
    </xf>
    <xf numFmtId="0" fontId="0" fillId="3" borderId="1" xfId="0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top"/>
    </xf>
    <xf numFmtId="177" fontId="0" fillId="3" borderId="1" xfId="0" applyNumberFormat="1" applyFill="1" applyBorder="1" applyAlignment="1">
      <alignment horizontal="left" vertical="top"/>
    </xf>
    <xf numFmtId="58" fontId="1" fillId="7" borderId="1" xfId="0" applyNumberFormat="1" applyFont="1" applyFill="1" applyBorder="1" applyAlignment="1">
      <alignment horizontal="left" vertical="top" wrapText="1"/>
    </xf>
    <xf numFmtId="177" fontId="1" fillId="9" borderId="1" xfId="0" applyNumberFormat="1" applyFont="1" applyFill="1" applyBorder="1" applyAlignment="1">
      <alignment horizontal="left" vertical="center" wrapText="1"/>
    </xf>
    <xf numFmtId="177" fontId="1" fillId="7" borderId="1" xfId="0" applyNumberFormat="1" applyFont="1" applyFill="1" applyBorder="1" applyAlignment="1">
      <alignment horizontal="left" vertical="center" wrapText="1"/>
    </xf>
    <xf numFmtId="177" fontId="1" fillId="7" borderId="1" xfId="0" applyNumberFormat="1" applyFont="1" applyFill="1" applyBorder="1" applyAlignment="1">
      <alignment horizontal="left" vertical="center" wrapText="1"/>
    </xf>
    <xf numFmtId="17" fontId="1" fillId="7" borderId="1" xfId="0" applyNumberFormat="1" applyFont="1" applyFill="1" applyBorder="1" applyAlignment="1">
      <alignment horizontal="left" vertical="center" wrapText="1"/>
    </xf>
    <xf numFmtId="17" fontId="1" fillId="7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177" fontId="1" fillId="9" borderId="1" xfId="0" applyNumberFormat="1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>
      <alignment horizontal="left" vertical="center" wrapText="1"/>
    </xf>
    <xf numFmtId="177" fontId="1" fillId="9" borderId="1" xfId="0" applyNumberFormat="1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58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40" fontId="4" fillId="3" borderId="1" xfId="0" applyNumberFormat="1" applyFont="1" applyFill="1" applyBorder="1" applyAlignment="1" applyProtection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/>
    </xf>
    <xf numFmtId="0" fontId="0" fillId="3" borderId="1" xfId="0" applyFill="1" applyBorder="1" applyAlignment="1">
      <alignment horizontal="left" vertical="top" wrapText="1"/>
    </xf>
    <xf numFmtId="0" fontId="1" fillId="3" borderId="1" xfId="0" applyFont="1" applyFill="1" applyBorder="1" applyAlignment="1" applyProtection="1">
      <alignment horizontal="left" vertical="top" wrapText="1"/>
      <protection locked="0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58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177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58" fontId="0" fillId="0" borderId="1" xfId="0" applyNumberFormat="1" applyFill="1" applyBorder="1" applyAlignment="1">
      <alignment horizontal="left" vertical="top"/>
    </xf>
    <xf numFmtId="177" fontId="0" fillId="3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vertical="top"/>
    </xf>
    <xf numFmtId="177" fontId="0" fillId="0" borderId="2" xfId="0" applyNumberFormat="1" applyBorder="1" applyAlignment="1">
      <alignment horizontal="left" vertical="top"/>
    </xf>
    <xf numFmtId="0" fontId="0" fillId="0" borderId="2" xfId="0" applyFill="1" applyBorder="1" applyAlignment="1">
      <alignment horizontal="center" vertical="top" wrapText="1"/>
    </xf>
    <xf numFmtId="177" fontId="0" fillId="0" borderId="3" xfId="0" applyNumberFormat="1" applyBorder="1" applyAlignment="1">
      <alignment horizontal="left" vertical="top"/>
    </xf>
    <xf numFmtId="0" fontId="0" fillId="0" borderId="3" xfId="0" applyFill="1" applyBorder="1" applyAlignment="1">
      <alignment horizontal="center" vertical="top" wrapText="1"/>
    </xf>
    <xf numFmtId="177" fontId="0" fillId="0" borderId="4" xfId="0" applyNumberFormat="1" applyBorder="1" applyAlignment="1">
      <alignment horizontal="left" vertical="top"/>
    </xf>
    <xf numFmtId="0" fontId="0" fillId="0" borderId="4" xfId="0" applyFill="1" applyBorder="1" applyAlignment="1">
      <alignment horizontal="center" vertical="top" wrapText="1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11" fillId="10" borderId="6" xfId="0" applyNumberFormat="1" applyFont="1" applyFill="1" applyBorder="1" applyAlignment="1">
      <alignment vertical="center" wrapText="1"/>
    </xf>
    <xf numFmtId="0" fontId="11" fillId="10" borderId="5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top" wrapText="1"/>
    </xf>
    <xf numFmtId="58" fontId="0" fillId="3" borderId="1" xfId="0" applyNumberForma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177" fontId="0" fillId="5" borderId="1" xfId="0" applyNumberForma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58" fontId="0" fillId="5" borderId="1" xfId="0" applyNumberFormat="1" applyFill="1" applyBorder="1" applyAlignment="1">
      <alignment horizontal="left" vertical="top"/>
    </xf>
    <xf numFmtId="0" fontId="12" fillId="0" borderId="6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177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58" fontId="0" fillId="2" borderId="1" xfId="0" applyNumberForma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0" fillId="2" borderId="1" xfId="0" applyNumberForma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ont>
        <b val="1"/>
        <u val="none"/>
        <color rgb="FFFFFFFF"/>
      </font>
      <fill>
        <patternFill patternType="solid">
          <bgColor theme="4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u val="none"/>
        <color rgb="FFFFFFFF"/>
      </font>
      <fill>
        <patternFill patternType="solid">
          <bgColor theme="4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ill>
        <patternFill patternType="solid">
          <bgColor theme="4" tint="0.799981688894314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ill>
        <patternFill patternType="solid">
          <bgColor theme="4" tint="0.799951170384838"/>
        </patternFill>
      </fill>
    </dxf>
    <dxf>
      <font>
        <b val="1"/>
        <u val="none"/>
        <color rgb="FF08090C"/>
      </font>
      <fill>
        <patternFill patternType="solid">
          <bgColor theme="4" tint="0.799951170384838"/>
        </patternFill>
      </fill>
      <border>
        <left style="medium">
          <color rgb="FFFFFFFF"/>
        </left>
        <right/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4" tint="0.799951170384838"/>
        </patternFill>
      </fill>
      <border>
        <left/>
        <right style="medium">
          <color rgb="FFFFFFFF"/>
        </right>
        <top style="medium">
          <color theme="4"/>
        </top>
        <bottom style="medium">
          <color theme="4"/>
        </bottom>
        <vertical/>
        <horizontal style="medium">
          <color rgb="FFFFFFFF"/>
        </horizontal>
      </border>
    </dxf>
    <dxf>
      <font>
        <b val="1"/>
        <u val="none"/>
        <color rgb="FFFFFFFF"/>
      </font>
      <fill>
        <patternFill patternType="solid">
          <bgColor theme="4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u val="none"/>
        <color rgb="FFFFFFFF"/>
      </font>
      <fill>
        <patternFill patternType="solid">
          <bgColor theme="4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4" tint="0.899990844447157"/>
        </patternFill>
      </fill>
      <border>
        <left/>
        <right/>
        <top style="medium">
          <color theme="4"/>
        </top>
        <bottom style="medium">
          <color theme="4"/>
        </bottom>
        <vertical style="medium">
          <color rgb="FFFFFFFF"/>
        </vertical>
        <horizontal style="medium">
          <color rgb="FFFFFFFF"/>
        </horizontal>
      </border>
    </dxf>
    <dxf>
      <fill>
        <patternFill patternType="solid">
          <bgColor theme="4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"/>
        </patternFill>
      </fill>
    </dxf>
    <dxf>
      <font>
        <b val="1"/>
        <u val="none"/>
        <color rgb="FF08090C"/>
      </font>
      <fill>
        <patternFill patternType="solid">
          <bgColor theme="4" tint="0.799981688894314"/>
        </patternFill>
      </fill>
      <border>
        <left/>
        <right/>
        <top/>
        <bottom/>
        <vertical/>
        <horizontal/>
      </border>
    </dxf>
    <dxf>
      <font>
        <b val="1"/>
        <u val="none"/>
        <color rgb="FF08090C"/>
      </font>
      <fill>
        <patternFill patternType="solid">
          <bgColor theme="4" tint="0.799981688894314"/>
        </pattern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u val="none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深色系标题行汇总行镶边行表格样式_ab588b" count="10" xr9:uid="{696AA99C-E6A7-4909-82F9-4EDFFB2EA0CF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  <tableStyleElement type="secondColumnStripe" dxfId="3"/>
      <tableStyleElement type="firstTotalCell" dxfId="2"/>
      <tableStyleElement type="lastTotalCell" dxfId="1"/>
    </tableStyle>
    <tableStyle name="中色系标题行镶边行表格样式_6e22f3" count="7" xr9:uid="{C6119599-7372-4431-8175-AB7B6EDE0317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21A0DE"/>
      <color rgb="0092D050"/>
      <color rgb="005B9BD5"/>
      <color rgb="00FFFF00"/>
      <color rgb="00EEF4FB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99.png"/><Relationship Id="rId98" Type="http://schemas.openxmlformats.org/officeDocument/2006/relationships/image" Target="media/image98.png"/><Relationship Id="rId97" Type="http://schemas.openxmlformats.org/officeDocument/2006/relationships/image" Target="media/image97.png"/><Relationship Id="rId96" Type="http://schemas.openxmlformats.org/officeDocument/2006/relationships/image" Target="media/image96.png"/><Relationship Id="rId95" Type="http://schemas.openxmlformats.org/officeDocument/2006/relationships/image" Target="media/image95.png"/><Relationship Id="rId94" Type="http://schemas.openxmlformats.org/officeDocument/2006/relationships/image" Target="media/image94.png"/><Relationship Id="rId93" Type="http://schemas.openxmlformats.org/officeDocument/2006/relationships/image" Target="media/image93.png"/><Relationship Id="rId92" Type="http://schemas.openxmlformats.org/officeDocument/2006/relationships/image" Target="media/image92.png"/><Relationship Id="rId91" Type="http://schemas.openxmlformats.org/officeDocument/2006/relationships/image" Target="media/image91.png"/><Relationship Id="rId90" Type="http://schemas.openxmlformats.org/officeDocument/2006/relationships/image" Target="media/image90.png"/><Relationship Id="rId9" Type="http://schemas.openxmlformats.org/officeDocument/2006/relationships/image" Target="media/image10.png"/><Relationship Id="rId89" Type="http://schemas.openxmlformats.org/officeDocument/2006/relationships/image" Target="media/image89.jpeg"/><Relationship Id="rId88" Type="http://schemas.openxmlformats.org/officeDocument/2006/relationships/image" Target="media/image88.jpeg"/><Relationship Id="rId87" Type="http://schemas.openxmlformats.org/officeDocument/2006/relationships/image" Target="media/image87.jpeg"/><Relationship Id="rId86" Type="http://schemas.openxmlformats.org/officeDocument/2006/relationships/image" Target="media/image86.png"/><Relationship Id="rId85" Type="http://schemas.openxmlformats.org/officeDocument/2006/relationships/image" Target="media/image85.png"/><Relationship Id="rId84" Type="http://schemas.openxmlformats.org/officeDocument/2006/relationships/image" Target="media/image84.png"/><Relationship Id="rId83" Type="http://schemas.openxmlformats.org/officeDocument/2006/relationships/image" Target="media/image83.png"/><Relationship Id="rId82" Type="http://schemas.openxmlformats.org/officeDocument/2006/relationships/image" Target="media/image82.png"/><Relationship Id="rId81" Type="http://schemas.openxmlformats.org/officeDocument/2006/relationships/image" Target="media/image81.png"/><Relationship Id="rId80" Type="http://schemas.openxmlformats.org/officeDocument/2006/relationships/image" Target="media/image80.png"/><Relationship Id="rId8" Type="http://schemas.openxmlformats.org/officeDocument/2006/relationships/image" Target="media/image9.png"/><Relationship Id="rId79" Type="http://schemas.openxmlformats.org/officeDocument/2006/relationships/image" Target="media/image79.png"/><Relationship Id="rId78" Type="http://schemas.openxmlformats.org/officeDocument/2006/relationships/image" Target="media/image78.png"/><Relationship Id="rId77" Type="http://schemas.openxmlformats.org/officeDocument/2006/relationships/image" Target="media/image77.jpeg"/><Relationship Id="rId76" Type="http://schemas.openxmlformats.org/officeDocument/2006/relationships/image" Target="media/image76.png"/><Relationship Id="rId75" Type="http://schemas.openxmlformats.org/officeDocument/2006/relationships/image" Target="media/image75.png"/><Relationship Id="rId74" Type="http://schemas.openxmlformats.org/officeDocument/2006/relationships/image" Target="media/image74.png"/><Relationship Id="rId73" Type="http://schemas.openxmlformats.org/officeDocument/2006/relationships/image" Target="media/image73.png"/><Relationship Id="rId72" Type="http://schemas.openxmlformats.org/officeDocument/2006/relationships/image" Target="media/image72.jpeg"/><Relationship Id="rId71" Type="http://schemas.openxmlformats.org/officeDocument/2006/relationships/image" Target="media/image71.png"/><Relationship Id="rId70" Type="http://schemas.openxmlformats.org/officeDocument/2006/relationships/image" Target="media/image70.png"/><Relationship Id="rId7" Type="http://schemas.openxmlformats.org/officeDocument/2006/relationships/image" Target="media/image8.png"/><Relationship Id="rId69" Type="http://schemas.openxmlformats.org/officeDocument/2006/relationships/image" Target="media/image69.png"/><Relationship Id="rId68" Type="http://schemas.openxmlformats.org/officeDocument/2006/relationships/image" Target="media/image68.png"/><Relationship Id="rId67" Type="http://schemas.openxmlformats.org/officeDocument/2006/relationships/image" Target="media/image67.png"/><Relationship Id="rId66" Type="http://schemas.openxmlformats.org/officeDocument/2006/relationships/image" Target="media/image66.jpeg"/><Relationship Id="rId65" Type="http://schemas.openxmlformats.org/officeDocument/2006/relationships/image" Target="media/image65.png"/><Relationship Id="rId64" Type="http://schemas.openxmlformats.org/officeDocument/2006/relationships/image" Target="media/image64.png"/><Relationship Id="rId63" Type="http://schemas.openxmlformats.org/officeDocument/2006/relationships/image" Target="media/image63.png"/><Relationship Id="rId62" Type="http://schemas.openxmlformats.org/officeDocument/2006/relationships/image" Target="media/image62.jpeg"/><Relationship Id="rId61" Type="http://schemas.openxmlformats.org/officeDocument/2006/relationships/image" Target="media/image61.jpeg"/><Relationship Id="rId60" Type="http://schemas.openxmlformats.org/officeDocument/2006/relationships/image" Target="media/image60.png"/><Relationship Id="rId6" Type="http://schemas.openxmlformats.org/officeDocument/2006/relationships/image" Target="media/image7.png"/><Relationship Id="rId59" Type="http://schemas.openxmlformats.org/officeDocument/2006/relationships/image" Target="media/image59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6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5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jpe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4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3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5" Type="http://schemas.openxmlformats.org/officeDocument/2006/relationships/image" Target="media/image175.jpeg"/><Relationship Id="rId174" Type="http://schemas.openxmlformats.org/officeDocument/2006/relationships/image" Target="media/image174.png"/><Relationship Id="rId173" Type="http://schemas.openxmlformats.org/officeDocument/2006/relationships/image" Target="media/image173.jpeg"/><Relationship Id="rId172" Type="http://schemas.openxmlformats.org/officeDocument/2006/relationships/image" Target="media/image172.png"/><Relationship Id="rId171" Type="http://schemas.openxmlformats.org/officeDocument/2006/relationships/image" Target="media/image171.png"/><Relationship Id="rId170" Type="http://schemas.openxmlformats.org/officeDocument/2006/relationships/image" Target="media/image170.png"/><Relationship Id="rId17" Type="http://schemas.openxmlformats.org/officeDocument/2006/relationships/image" Target="media/image17.png"/><Relationship Id="rId169" Type="http://schemas.openxmlformats.org/officeDocument/2006/relationships/image" Target="media/image169.jpeg"/><Relationship Id="rId168" Type="http://schemas.openxmlformats.org/officeDocument/2006/relationships/image" Target="media/image168.png"/><Relationship Id="rId167" Type="http://schemas.openxmlformats.org/officeDocument/2006/relationships/image" Target="media/image167.png"/><Relationship Id="rId166" Type="http://schemas.openxmlformats.org/officeDocument/2006/relationships/image" Target="media/image166.jpeg"/><Relationship Id="rId165" Type="http://schemas.openxmlformats.org/officeDocument/2006/relationships/image" Target="media/image165.jpeg"/><Relationship Id="rId164" Type="http://schemas.openxmlformats.org/officeDocument/2006/relationships/image" Target="media/image164.png"/><Relationship Id="rId163" Type="http://schemas.openxmlformats.org/officeDocument/2006/relationships/image" Target="media/image163.png"/><Relationship Id="rId162" Type="http://schemas.openxmlformats.org/officeDocument/2006/relationships/image" Target="media/image162.jpeg"/><Relationship Id="rId161" Type="http://schemas.openxmlformats.org/officeDocument/2006/relationships/image" Target="media/image161.jpeg"/><Relationship Id="rId160" Type="http://schemas.openxmlformats.org/officeDocument/2006/relationships/image" Target="media/image160.png"/><Relationship Id="rId16" Type="http://schemas.openxmlformats.org/officeDocument/2006/relationships/image" Target="media/image16.png"/><Relationship Id="rId159" Type="http://schemas.openxmlformats.org/officeDocument/2006/relationships/image" Target="media/image159.png"/><Relationship Id="rId158" Type="http://schemas.openxmlformats.org/officeDocument/2006/relationships/image" Target="media/image158.png"/><Relationship Id="rId157" Type="http://schemas.openxmlformats.org/officeDocument/2006/relationships/image" Target="media/image157.png"/><Relationship Id="rId156" Type="http://schemas.openxmlformats.org/officeDocument/2006/relationships/image" Target="media/image156.png"/><Relationship Id="rId155" Type="http://schemas.openxmlformats.org/officeDocument/2006/relationships/image" Target="media/image155.png"/><Relationship Id="rId154" Type="http://schemas.openxmlformats.org/officeDocument/2006/relationships/image" Target="media/image154.png"/><Relationship Id="rId153" Type="http://schemas.openxmlformats.org/officeDocument/2006/relationships/image" Target="media/image153.png"/><Relationship Id="rId152" Type="http://schemas.openxmlformats.org/officeDocument/2006/relationships/image" Target="media/image152.png"/><Relationship Id="rId151" Type="http://schemas.openxmlformats.org/officeDocument/2006/relationships/image" Target="media/image151.png"/><Relationship Id="rId150" Type="http://schemas.openxmlformats.org/officeDocument/2006/relationships/image" Target="media/image150.png"/><Relationship Id="rId15" Type="http://schemas.openxmlformats.org/officeDocument/2006/relationships/image" Target="media/image15.png"/><Relationship Id="rId149" Type="http://schemas.openxmlformats.org/officeDocument/2006/relationships/image" Target="media/image149.png"/><Relationship Id="rId148" Type="http://schemas.openxmlformats.org/officeDocument/2006/relationships/image" Target="media/image148.png"/><Relationship Id="rId147" Type="http://schemas.openxmlformats.org/officeDocument/2006/relationships/image" Target="media/image147.png"/><Relationship Id="rId146" Type="http://schemas.openxmlformats.org/officeDocument/2006/relationships/image" Target="media/image146.png"/><Relationship Id="rId145" Type="http://schemas.openxmlformats.org/officeDocument/2006/relationships/image" Target="media/image145.png"/><Relationship Id="rId144" Type="http://schemas.openxmlformats.org/officeDocument/2006/relationships/image" Target="media/image144.png"/><Relationship Id="rId143" Type="http://schemas.openxmlformats.org/officeDocument/2006/relationships/image" Target="media/image143.png"/><Relationship Id="rId142" Type="http://schemas.openxmlformats.org/officeDocument/2006/relationships/image" Target="media/image142.png"/><Relationship Id="rId141" Type="http://schemas.openxmlformats.org/officeDocument/2006/relationships/image" Target="media/image141.png"/><Relationship Id="rId140" Type="http://schemas.openxmlformats.org/officeDocument/2006/relationships/image" Target="media/image140.png"/><Relationship Id="rId14" Type="http://schemas.openxmlformats.org/officeDocument/2006/relationships/image" Target="media/image14.jpeg"/><Relationship Id="rId139" Type="http://schemas.openxmlformats.org/officeDocument/2006/relationships/image" Target="media/image139.png"/><Relationship Id="rId138" Type="http://schemas.openxmlformats.org/officeDocument/2006/relationships/image" Target="media/image138.png"/><Relationship Id="rId137" Type="http://schemas.openxmlformats.org/officeDocument/2006/relationships/image" Target="media/image137.png"/><Relationship Id="rId136" Type="http://schemas.openxmlformats.org/officeDocument/2006/relationships/image" Target="media/image136.png"/><Relationship Id="rId135" Type="http://schemas.openxmlformats.org/officeDocument/2006/relationships/image" Target="media/image135.png"/><Relationship Id="rId134" Type="http://schemas.openxmlformats.org/officeDocument/2006/relationships/image" Target="media/image134.png"/><Relationship Id="rId133" Type="http://schemas.openxmlformats.org/officeDocument/2006/relationships/image" Target="media/image133.png"/><Relationship Id="rId132" Type="http://schemas.openxmlformats.org/officeDocument/2006/relationships/image" Target="media/image132.png"/><Relationship Id="rId131" Type="http://schemas.openxmlformats.org/officeDocument/2006/relationships/image" Target="media/image131.png"/><Relationship Id="rId130" Type="http://schemas.openxmlformats.org/officeDocument/2006/relationships/image" Target="media/image130.png"/><Relationship Id="rId13" Type="http://schemas.openxmlformats.org/officeDocument/2006/relationships/image" Target="media/image13.png"/><Relationship Id="rId129" Type="http://schemas.openxmlformats.org/officeDocument/2006/relationships/image" Target="media/image129.png"/><Relationship Id="rId128" Type="http://schemas.openxmlformats.org/officeDocument/2006/relationships/image" Target="media/image128.png"/><Relationship Id="rId127" Type="http://schemas.openxmlformats.org/officeDocument/2006/relationships/image" Target="media/image127.png"/><Relationship Id="rId126" Type="http://schemas.openxmlformats.org/officeDocument/2006/relationships/image" Target="media/image126.png"/><Relationship Id="rId125" Type="http://schemas.openxmlformats.org/officeDocument/2006/relationships/image" Target="media/image125.png"/><Relationship Id="rId124" Type="http://schemas.openxmlformats.org/officeDocument/2006/relationships/image" Target="media/image124.jpeg"/><Relationship Id="rId123" Type="http://schemas.openxmlformats.org/officeDocument/2006/relationships/image" Target="media/image123.jpeg"/><Relationship Id="rId122" Type="http://schemas.openxmlformats.org/officeDocument/2006/relationships/image" Target="media/image122.jpeg"/><Relationship Id="rId121" Type="http://schemas.openxmlformats.org/officeDocument/2006/relationships/image" Target="media/image121.png"/><Relationship Id="rId120" Type="http://schemas.openxmlformats.org/officeDocument/2006/relationships/image" Target="media/image120.png"/><Relationship Id="rId12" Type="http://schemas.openxmlformats.org/officeDocument/2006/relationships/image" Target="media/image1.jpeg"/><Relationship Id="rId119" Type="http://schemas.openxmlformats.org/officeDocument/2006/relationships/image" Target="media/image119.png"/><Relationship Id="rId118" Type="http://schemas.openxmlformats.org/officeDocument/2006/relationships/image" Target="media/image118.png"/><Relationship Id="rId117" Type="http://schemas.openxmlformats.org/officeDocument/2006/relationships/image" Target="media/image117.png"/><Relationship Id="rId116" Type="http://schemas.openxmlformats.org/officeDocument/2006/relationships/image" Target="media/image116.png"/><Relationship Id="rId115" Type="http://schemas.openxmlformats.org/officeDocument/2006/relationships/image" Target="media/image115.png"/><Relationship Id="rId114" Type="http://schemas.openxmlformats.org/officeDocument/2006/relationships/image" Target="media/image114.png"/><Relationship Id="rId113" Type="http://schemas.openxmlformats.org/officeDocument/2006/relationships/image" Target="media/image113.png"/><Relationship Id="rId112" Type="http://schemas.openxmlformats.org/officeDocument/2006/relationships/image" Target="media/image112.png"/><Relationship Id="rId111" Type="http://schemas.openxmlformats.org/officeDocument/2006/relationships/image" Target="media/image111.png"/><Relationship Id="rId110" Type="http://schemas.openxmlformats.org/officeDocument/2006/relationships/image" Target="media/image110.jpeg"/><Relationship Id="rId11" Type="http://schemas.openxmlformats.org/officeDocument/2006/relationships/image" Target="media/image12.png"/><Relationship Id="rId109" Type="http://schemas.openxmlformats.org/officeDocument/2006/relationships/image" Target="media/image109.png"/><Relationship Id="rId108" Type="http://schemas.openxmlformats.org/officeDocument/2006/relationships/image" Target="media/image108.png"/><Relationship Id="rId107" Type="http://schemas.openxmlformats.org/officeDocument/2006/relationships/image" Target="media/image107.png"/><Relationship Id="rId106" Type="http://schemas.openxmlformats.org/officeDocument/2006/relationships/image" Target="media/image106.png"/><Relationship Id="rId105" Type="http://schemas.openxmlformats.org/officeDocument/2006/relationships/image" Target="media/image105.jpeg"/><Relationship Id="rId104" Type="http://schemas.openxmlformats.org/officeDocument/2006/relationships/image" Target="media/image104.jpeg"/><Relationship Id="rId103" Type="http://schemas.openxmlformats.org/officeDocument/2006/relationships/image" Target="media/image103.jpeg"/><Relationship Id="rId102" Type="http://schemas.openxmlformats.org/officeDocument/2006/relationships/image" Target="media/image102.jpeg"/><Relationship Id="rId101" Type="http://schemas.openxmlformats.org/officeDocument/2006/relationships/image" Target="media/image101.png"/><Relationship Id="rId100" Type="http://schemas.openxmlformats.org/officeDocument/2006/relationships/image" Target="media/image100.png"/><Relationship Id="rId10" Type="http://schemas.openxmlformats.org/officeDocument/2006/relationships/image" Target="media/image11.pn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www.wps.cn/officeDocument/2020/cellImage" Target="cellimag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2355850</xdr:colOff>
      <xdr:row>57</xdr:row>
      <xdr:rowOff>812800</xdr:rowOff>
    </xdr:from>
    <xdr:to>
      <xdr:col>4</xdr:col>
      <xdr:colOff>2364740</xdr:colOff>
      <xdr:row>59</xdr:row>
      <xdr:rowOff>6985</xdr:rowOff>
    </xdr:to>
    <xdr:pic>
      <xdr:nvPicPr>
        <xdr:cNvPr id="58582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46390" y="31267400"/>
          <a:ext cx="8890" cy="292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2355850</xdr:colOff>
      <xdr:row>58</xdr:row>
      <xdr:rowOff>812800</xdr:rowOff>
    </xdr:from>
    <xdr:to>
      <xdr:col>4</xdr:col>
      <xdr:colOff>2364740</xdr:colOff>
      <xdr:row>60</xdr:row>
      <xdr:rowOff>6985</xdr:rowOff>
    </xdr:to>
    <xdr:pic>
      <xdr:nvPicPr>
        <xdr:cNvPr id="5858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46390" y="31553150"/>
          <a:ext cx="8890" cy="292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137160</xdr:colOff>
      <xdr:row>567</xdr:row>
      <xdr:rowOff>254000</xdr:rowOff>
    </xdr:from>
    <xdr:to>
      <xdr:col>12</xdr:col>
      <xdr:colOff>3582035</xdr:colOff>
      <xdr:row>568</xdr:row>
      <xdr:rowOff>704215</xdr:rowOff>
    </xdr:to>
    <xdr:sp>
      <xdr:nvSpPr>
        <xdr:cNvPr id="2" name="Rectangle 301"/>
        <xdr:cNvSpPr>
          <a:spLocks noChangeArrowheads="1"/>
        </xdr:cNvSpPr>
      </xdr:nvSpPr>
      <xdr:spPr>
        <a:xfrm>
          <a:off x="17198975" y="569055250"/>
          <a:ext cx="3444875" cy="254571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</a:ln>
      </xdr:spPr>
      <xdr:txBody>
        <a:bodyPr vertOverflow="clip" wrap="square" lIns="36576" tIns="36576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Bandeja malla</a:t>
          </a:r>
          <a:endParaRPr lang="en-US" altLang="zh-CN" sz="1400" b="1">
            <a:solidFill>
              <a:srgbClr val="000000"/>
            </a:solidFill>
            <a:latin typeface="Arial" panose="020B0604020202020204"/>
            <a:ea typeface="Arial" panose="020B0604020202020204"/>
            <a:cs typeface="Arial" panose="020B0604020202020204"/>
            <a:sym typeface="+mn-ea"/>
          </a:endParaRPr>
        </a:p>
        <a:p>
          <a:pPr algn="l" rtl="0">
            <a:defRPr sz="1000"/>
          </a:pPr>
          <a:r>
            <a:rPr lang="en-US" altLang="zh-CN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Referencia:  </a:t>
          </a:r>
          <a:r>
            <a:rPr lang="zh-CN" altLang="en-US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（</a:t>
          </a:r>
          <a:r>
            <a:rPr lang="zh-CN" altLang="en-US" sz="1400" b="1">
              <a:solidFill>
                <a:srgbClr val="FF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填货号）</a:t>
          </a:r>
          <a:endParaRPr lang="en-US" altLang="zh-CN" sz="1400" b="1" i="0" u="none" strike="noStrike" baseline="0">
            <a:solidFill>
              <a:srgbClr val="C00000"/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n-US" altLang="zh-CN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Cantidad:    </a:t>
          </a:r>
          <a:r>
            <a:rPr lang="zh-CN" altLang="en-US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（</a:t>
          </a:r>
          <a:r>
            <a:rPr lang="zh-CN" altLang="en-US" sz="1400" b="1">
              <a:solidFill>
                <a:srgbClr val="FF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数量</a:t>
          </a:r>
          <a:r>
            <a:rPr lang="zh-CN" altLang="en-US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）</a:t>
          </a:r>
          <a:r>
            <a:rPr lang="en-US" altLang="zh-CN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     SET</a:t>
          </a:r>
          <a:endParaRPr lang="en-US" altLang="zh-CN" sz="1400" b="1" i="0" u="none" strike="noStrike" baseline="0">
            <a:solidFill>
              <a:srgbClr val="C00000"/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n-US" altLang="zh-CN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Peso Total:     </a:t>
          </a:r>
          <a:r>
            <a:rPr lang="zh-CN" altLang="en-US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（</a:t>
          </a:r>
          <a:r>
            <a:rPr lang="zh-CN" altLang="en-US" sz="1400" b="1">
              <a:solidFill>
                <a:srgbClr val="FF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毛重</a:t>
          </a:r>
          <a:r>
            <a:rPr lang="zh-CN" altLang="en-US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）</a:t>
          </a:r>
          <a:r>
            <a:rPr lang="en-US" altLang="zh-CN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  KGS</a:t>
          </a:r>
          <a:endParaRPr lang="en-US" altLang="zh-CN" sz="1400" b="1" i="0" u="none" strike="noStrike" baseline="0">
            <a:solidFill>
              <a:srgbClr val="000000"/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n-US" altLang="zh-CN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Peso Neto:      </a:t>
          </a:r>
          <a:r>
            <a:rPr lang="zh-CN" altLang="en-US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（</a:t>
          </a:r>
          <a:r>
            <a:rPr lang="zh-CN" altLang="en-US" sz="1400" b="1">
              <a:solidFill>
                <a:srgbClr val="FF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净重</a:t>
          </a:r>
          <a:r>
            <a:rPr lang="zh-CN" altLang="en-US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）</a:t>
          </a:r>
          <a:r>
            <a:rPr lang="en-US" altLang="zh-CN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   KGS</a:t>
          </a:r>
          <a:endParaRPr lang="en-US" altLang="zh-CN" sz="1400" b="1" i="0" u="none" strike="noStrike" baseline="0">
            <a:solidFill>
              <a:srgbClr val="000000"/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n-US" altLang="zh-CN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Medidas.:      X         X      CM</a:t>
          </a:r>
          <a:endParaRPr lang="en-US" altLang="zh-CN" sz="1400" b="1">
            <a:solidFill>
              <a:srgbClr val="000000"/>
            </a:solidFill>
            <a:latin typeface="Arial" panose="020B0604020202020204"/>
            <a:ea typeface="Arial" panose="020B0604020202020204"/>
            <a:cs typeface="Arial" panose="020B0604020202020204"/>
            <a:sym typeface="+mn-ea"/>
          </a:endParaRPr>
        </a:p>
        <a:p>
          <a:pPr algn="l" rtl="0">
            <a:defRPr sz="1000"/>
          </a:pPr>
          <a:r>
            <a:rPr lang="zh-CN" altLang="en-US" sz="1400" b="1">
              <a:solidFill>
                <a:srgbClr val="FF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条形码</a:t>
          </a:r>
          <a:r>
            <a:rPr lang="en-US" altLang="zh-CN" sz="1400" b="1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+mn-ea"/>
            </a:rPr>
            <a:t>  </a:t>
          </a:r>
          <a:endParaRPr lang="en-US" altLang="zh-CN" sz="1400" b="1" i="0" u="none" strike="noStrike" baseline="0">
            <a:solidFill>
              <a:srgbClr val="FF0000"/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  <a:p>
          <a:pPr algn="l" rtl="0">
            <a:defRPr sz="1000"/>
          </a:pPr>
          <a:endParaRPr lang="en-US" altLang="zh-CN" sz="1400" b="1" i="0" u="none" strike="noStrike" baseline="0">
            <a:solidFill>
              <a:srgbClr val="FF0000"/>
            </a:solidFill>
            <a:latin typeface="Arial" panose="020B0604020202020204"/>
            <a:ea typeface="Arial" panose="020B0604020202020204"/>
            <a:cs typeface="Arial" panose="020B060402020202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06"/>
  <sheetViews>
    <sheetView tabSelected="1" zoomScale="90" zoomScaleNormal="90" workbookViewId="0">
      <pane ySplit="1" topLeftCell="A2" activePane="bottomLeft" state="frozen"/>
      <selection/>
      <selection pane="bottomLeft" activeCell="D617" sqref="D617"/>
    </sheetView>
  </sheetViews>
  <sheetFormatPr defaultColWidth="9" defaultRowHeight="15"/>
  <cols>
    <col min="1" max="1" width="18.0083333333333" style="6" customWidth="1"/>
    <col min="2" max="3" width="12.3416666666667" style="7" customWidth="1"/>
    <col min="4" max="4" width="30.675" style="8" customWidth="1"/>
    <col min="5" max="5" width="39.375" style="9" customWidth="1"/>
    <col min="6" max="7" width="8.675" style="9" customWidth="1"/>
    <col min="8" max="9" width="10.675" style="9" customWidth="1"/>
    <col min="10" max="10" width="20.5833333333333" style="9" customWidth="1"/>
    <col min="11" max="11" width="28.25" style="9" customWidth="1"/>
    <col min="12" max="12" width="23.6333333333333" style="8" customWidth="1"/>
    <col min="13" max="13" width="47.2416666666667" style="9" customWidth="1"/>
    <col min="14" max="15" width="26.675" style="9" customWidth="1"/>
    <col min="16" max="16" width="20.5833333333333" style="9" customWidth="1"/>
    <col min="17" max="17" width="23.2333333333333" style="8" customWidth="1"/>
    <col min="18" max="18" width="50.5833333333333" style="8" customWidth="1"/>
    <col min="19" max="19" width="12.3416666666667" style="8" customWidth="1"/>
    <col min="20" max="20" width="10.5083333333333" style="9" customWidth="1"/>
    <col min="21" max="21" width="12.3416666666667" style="9" customWidth="1"/>
    <col min="22" max="33" width="9" style="9"/>
    <col min="34" max="34" width="17.125" style="9" customWidth="1"/>
    <col min="35" max="16384" width="9" style="9"/>
  </cols>
  <sheetData>
    <row r="1" s="9" customFormat="1" ht="22.5" customHeight="1" spans="1:35">
      <c r="A1" s="41" t="s">
        <v>0</v>
      </c>
      <c r="B1" s="41" t="s">
        <v>1</v>
      </c>
      <c r="C1" s="4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3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</row>
    <row r="2" s="12" customFormat="1" ht="154.5" customHeight="1" spans="1:35">
      <c r="A2" s="44"/>
      <c r="B2" s="45" t="s">
        <v>21</v>
      </c>
      <c r="C2" s="45"/>
      <c r="D2" s="46" t="s">
        <v>22</v>
      </c>
      <c r="E2" s="47" t="s">
        <v>23</v>
      </c>
      <c r="F2" s="46">
        <v>12</v>
      </c>
      <c r="G2" s="46">
        <v>80</v>
      </c>
      <c r="H2" s="46">
        <f>G2*F2</f>
        <v>960</v>
      </c>
      <c r="I2" s="46" t="s">
        <v>24</v>
      </c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AI2" s="48"/>
    </row>
    <row r="3" s="12" customFormat="1" ht="154.5" customHeight="1" spans="1:35">
      <c r="A3" s="49"/>
      <c r="B3" s="45" t="s">
        <v>21</v>
      </c>
      <c r="C3" s="45"/>
      <c r="D3" s="50" t="s">
        <v>22</v>
      </c>
      <c r="E3" s="50" t="s">
        <v>25</v>
      </c>
      <c r="F3" s="50">
        <v>12</v>
      </c>
      <c r="G3" s="50">
        <v>80</v>
      </c>
      <c r="H3" s="50">
        <f>G3*F3</f>
        <v>960</v>
      </c>
      <c r="I3" s="50" t="s">
        <v>24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="12" customFormat="1" ht="154.5" customHeight="1" spans="1:35">
      <c r="A4" s="44"/>
      <c r="B4" s="45" t="s">
        <v>21</v>
      </c>
      <c r="C4" s="45"/>
      <c r="D4" s="51" t="s">
        <v>26</v>
      </c>
      <c r="E4" s="46" t="s">
        <v>27</v>
      </c>
      <c r="F4" s="46">
        <v>12</v>
      </c>
      <c r="G4" s="46">
        <v>10</v>
      </c>
      <c r="H4" s="46">
        <f>G4*F4</f>
        <v>120</v>
      </c>
      <c r="I4" s="46" t="s">
        <v>24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</row>
    <row r="5" s="12" customFormat="1" ht="270" customHeight="1" spans="1:35">
      <c r="A5" s="49"/>
      <c r="B5" s="45" t="s">
        <v>21</v>
      </c>
      <c r="C5" s="45"/>
      <c r="D5" s="49" t="s">
        <v>28</v>
      </c>
      <c r="E5" s="50" t="s">
        <v>27</v>
      </c>
      <c r="F5" s="49">
        <v>8</v>
      </c>
      <c r="G5" s="49">
        <v>60</v>
      </c>
      <c r="H5" s="50">
        <f>G5*F5</f>
        <v>480</v>
      </c>
      <c r="I5" s="50" t="s">
        <v>24</v>
      </c>
      <c r="J5" s="50"/>
      <c r="K5" s="50"/>
      <c r="L5" s="50"/>
      <c r="M5" s="52"/>
      <c r="N5" s="52"/>
      <c r="O5" s="52"/>
      <c r="P5" s="52"/>
      <c r="Q5" s="52"/>
      <c r="R5" s="52"/>
      <c r="S5" s="52"/>
      <c r="T5" s="49"/>
      <c r="U5" s="49"/>
    </row>
    <row r="6" s="12" customFormat="1" spans="1:35">
      <c r="A6" s="44" t="s">
        <v>29</v>
      </c>
      <c r="B6" s="45" t="s">
        <v>21</v>
      </c>
      <c r="C6" s="45"/>
      <c r="D6" s="44" t="s">
        <v>30</v>
      </c>
      <c r="E6" s="44" t="s">
        <v>31</v>
      </c>
      <c r="F6" s="44">
        <v>12</v>
      </c>
      <c r="G6" s="44">
        <v>40</v>
      </c>
      <c r="H6" s="46">
        <f>G6*F6</f>
        <v>480</v>
      </c>
      <c r="I6" s="46" t="s">
        <v>24</v>
      </c>
      <c r="J6" s="44"/>
      <c r="K6" s="44"/>
      <c r="L6" s="46"/>
      <c r="M6" s="44"/>
      <c r="N6" s="44"/>
      <c r="O6" s="44"/>
      <c r="P6" s="44"/>
      <c r="Q6" s="44"/>
      <c r="R6" s="44"/>
      <c r="S6" s="44"/>
      <c r="T6" s="44"/>
      <c r="U6" s="44"/>
    </row>
    <row r="7" s="9" customFormat="1" ht="22.5" customHeight="1" spans="1:35">
      <c r="A7" s="53" t="s">
        <v>32</v>
      </c>
      <c r="B7" s="54">
        <v>46154</v>
      </c>
      <c r="C7" s="55"/>
      <c r="D7" s="56" t="s">
        <v>33</v>
      </c>
      <c r="E7" s="36" t="s">
        <v>34</v>
      </c>
      <c r="F7" s="57">
        <v>10</v>
      </c>
      <c r="G7" s="57">
        <v>2</v>
      </c>
      <c r="H7" s="58">
        <f>F7*G7</f>
        <v>20</v>
      </c>
      <c r="I7" s="58" t="s">
        <v>24</v>
      </c>
      <c r="J7" s="57"/>
      <c r="K7" s="57"/>
      <c r="L7" s="58"/>
      <c r="M7" s="57" t="s">
        <v>35</v>
      </c>
      <c r="N7" s="57"/>
      <c r="O7" s="57" t="s">
        <v>36</v>
      </c>
      <c r="P7" s="57"/>
      <c r="Q7" s="57"/>
      <c r="R7" s="57" t="s">
        <v>37</v>
      </c>
      <c r="S7" s="57"/>
      <c r="T7" s="57"/>
      <c r="U7" s="57"/>
    </row>
    <row r="8" s="9" customFormat="1" ht="22.5" customHeight="1" spans="1:35">
      <c r="A8" s="53" t="s">
        <v>32</v>
      </c>
      <c r="B8" s="54"/>
      <c r="C8" s="55"/>
      <c r="D8" s="56" t="s">
        <v>33</v>
      </c>
      <c r="E8" s="36" t="s">
        <v>34</v>
      </c>
      <c r="F8" s="57">
        <v>10</v>
      </c>
      <c r="G8" s="57">
        <v>5</v>
      </c>
      <c r="H8" s="58">
        <f>F8*G8</f>
        <v>50</v>
      </c>
      <c r="I8" s="58" t="s">
        <v>24</v>
      </c>
      <c r="J8" s="57"/>
      <c r="K8" s="57"/>
      <c r="L8" s="58"/>
      <c r="M8" s="57" t="s">
        <v>38</v>
      </c>
      <c r="N8" s="57"/>
      <c r="O8" s="57" t="s">
        <v>36</v>
      </c>
      <c r="P8" s="57"/>
      <c r="Q8" s="57"/>
      <c r="R8" s="57"/>
      <c r="S8" s="57"/>
      <c r="T8" s="57"/>
      <c r="U8" s="57"/>
    </row>
    <row r="9" s="9" customFormat="1" ht="30.75" customHeight="1" spans="1:35">
      <c r="A9" s="59" t="s">
        <v>39</v>
      </c>
      <c r="B9" s="60">
        <v>46207</v>
      </c>
      <c r="C9" s="61"/>
      <c r="D9" s="62" t="s">
        <v>40</v>
      </c>
      <c r="E9" s="9" t="s">
        <v>41</v>
      </c>
      <c r="F9" s="59">
        <v>12</v>
      </c>
      <c r="G9" s="59">
        <v>50</v>
      </c>
      <c r="H9" s="63">
        <f>F9*G9</f>
        <v>600</v>
      </c>
      <c r="I9" s="63" t="s">
        <v>24</v>
      </c>
      <c r="J9" s="59"/>
      <c r="K9" s="59"/>
      <c r="L9" s="63"/>
      <c r="M9" s="59"/>
      <c r="N9" s="59"/>
      <c r="O9" s="59" t="s">
        <v>42</v>
      </c>
      <c r="P9" s="59"/>
      <c r="Q9" s="59"/>
      <c r="R9" s="59" t="s">
        <v>43</v>
      </c>
      <c r="S9" s="59"/>
      <c r="T9" s="59"/>
      <c r="U9" s="59"/>
    </row>
    <row r="10" s="9" customFormat="1" ht="30.75" customHeight="1" spans="1:35">
      <c r="A10" s="59"/>
      <c r="B10" s="60">
        <v>46207</v>
      </c>
      <c r="C10" s="61"/>
      <c r="D10" s="62"/>
      <c r="E10" s="36" t="s">
        <v>44</v>
      </c>
      <c r="F10" s="59">
        <v>12</v>
      </c>
      <c r="G10" s="59">
        <v>5</v>
      </c>
      <c r="H10" s="63">
        <f>F10*G10</f>
        <v>60</v>
      </c>
      <c r="I10" s="63" t="s">
        <v>24</v>
      </c>
      <c r="J10" s="59"/>
      <c r="K10" s="59"/>
      <c r="L10" s="63"/>
      <c r="M10" s="59"/>
      <c r="N10" s="59"/>
      <c r="O10" s="59" t="s">
        <v>42</v>
      </c>
      <c r="P10" s="59"/>
      <c r="Q10" s="59"/>
      <c r="R10" s="59"/>
      <c r="S10" s="59"/>
      <c r="T10" s="59"/>
      <c r="U10" s="59"/>
    </row>
    <row r="11" s="9" customFormat="1" ht="22.5" customHeight="1" spans="1:35">
      <c r="A11" s="57" t="s">
        <v>45</v>
      </c>
      <c r="B11" s="64">
        <v>46129</v>
      </c>
      <c r="C11" s="64"/>
      <c r="D11" s="57" t="s">
        <v>46</v>
      </c>
      <c r="E11" s="9" t="s">
        <v>41</v>
      </c>
      <c r="F11" s="57">
        <v>12</v>
      </c>
      <c r="G11" s="57">
        <v>30</v>
      </c>
      <c r="H11" s="58">
        <f>F11*G11</f>
        <v>360</v>
      </c>
      <c r="I11" s="58" t="s">
        <v>24</v>
      </c>
      <c r="J11" s="57"/>
      <c r="K11" s="57"/>
      <c r="L11" s="58"/>
      <c r="M11" s="57"/>
      <c r="N11" s="57"/>
      <c r="O11" s="57" t="s">
        <v>36</v>
      </c>
      <c r="P11" s="57"/>
      <c r="Q11" s="57"/>
      <c r="R11" s="57"/>
      <c r="S11" s="57"/>
      <c r="T11" s="57"/>
      <c r="U11" s="57"/>
    </row>
    <row r="12" s="9" customFormat="1" ht="72" customHeight="1" spans="1:35">
      <c r="A12" s="65" t="s">
        <v>47</v>
      </c>
      <c r="B12" s="66">
        <v>46141</v>
      </c>
      <c r="C12" s="66"/>
      <c r="D12" s="65" t="s">
        <v>48</v>
      </c>
      <c r="E12" s="36" t="s">
        <v>49</v>
      </c>
      <c r="F12" s="59">
        <v>12</v>
      </c>
      <c r="G12" s="59">
        <v>100</v>
      </c>
      <c r="H12" s="63">
        <f t="shared" ref="H12:H15" si="0">F12*G12</f>
        <v>1200</v>
      </c>
      <c r="I12" s="63" t="s">
        <v>24</v>
      </c>
      <c r="J12" s="59"/>
      <c r="K12" s="59"/>
      <c r="L12" s="63"/>
      <c r="M12" s="59"/>
      <c r="N12" s="59"/>
      <c r="O12" s="59"/>
      <c r="P12" s="59"/>
      <c r="Q12" s="59"/>
      <c r="R12" s="59" t="s">
        <v>50</v>
      </c>
      <c r="S12" s="59"/>
      <c r="T12" s="59"/>
      <c r="U12" s="59"/>
    </row>
    <row r="13" s="9" customFormat="1" ht="72" customHeight="1" spans="1:35">
      <c r="A13" s="65" t="s">
        <v>47</v>
      </c>
      <c r="B13" s="66">
        <v>46137</v>
      </c>
      <c r="C13" s="66"/>
      <c r="D13" s="65" t="s">
        <v>48</v>
      </c>
      <c r="E13" s="9" t="s">
        <v>41</v>
      </c>
      <c r="F13" s="59">
        <v>12</v>
      </c>
      <c r="G13" s="59">
        <v>30</v>
      </c>
      <c r="H13" s="63">
        <f t="shared" si="0"/>
        <v>360</v>
      </c>
      <c r="I13" s="63" t="s">
        <v>24</v>
      </c>
      <c r="J13" s="59"/>
      <c r="K13" s="59"/>
      <c r="L13" s="63"/>
      <c r="M13" s="59"/>
      <c r="N13" s="59"/>
      <c r="O13" s="59"/>
      <c r="P13" s="59"/>
      <c r="Q13" s="59"/>
      <c r="R13" s="59"/>
      <c r="S13" s="59"/>
      <c r="T13" s="59"/>
      <c r="U13" s="59"/>
    </row>
    <row r="14" s="9" customFormat="1" ht="72" customHeight="1" spans="1:35">
      <c r="A14" s="65" t="s">
        <v>47</v>
      </c>
      <c r="B14" s="66">
        <v>46141</v>
      </c>
      <c r="C14" s="66"/>
      <c r="D14" s="65" t="s">
        <v>48</v>
      </c>
      <c r="E14" s="36" t="s">
        <v>49</v>
      </c>
      <c r="F14" s="59">
        <v>12</v>
      </c>
      <c r="G14" s="59">
        <v>225</v>
      </c>
      <c r="H14" s="63">
        <f t="shared" si="0"/>
        <v>2700</v>
      </c>
      <c r="I14" s="63" t="s">
        <v>24</v>
      </c>
      <c r="J14" s="59"/>
      <c r="K14" s="59"/>
      <c r="L14" s="63"/>
      <c r="M14" s="59"/>
      <c r="N14" s="59"/>
      <c r="O14" s="59"/>
      <c r="P14" s="59"/>
      <c r="Q14" s="59"/>
      <c r="R14" s="59"/>
      <c r="S14" s="59"/>
      <c r="T14" s="59"/>
      <c r="U14" s="59"/>
    </row>
    <row r="15" s="9" customFormat="1" spans="1:35">
      <c r="A15" s="65" t="s">
        <v>47</v>
      </c>
      <c r="B15" s="66">
        <v>46141</v>
      </c>
      <c r="C15" s="66"/>
      <c r="D15" s="65" t="s">
        <v>48</v>
      </c>
      <c r="E15" s="36" t="s">
        <v>49</v>
      </c>
      <c r="F15" s="59">
        <v>12</v>
      </c>
      <c r="G15" s="59">
        <v>145</v>
      </c>
      <c r="H15" s="63">
        <f t="shared" si="0"/>
        <v>1740</v>
      </c>
      <c r="I15" s="63" t="s">
        <v>24</v>
      </c>
      <c r="J15" s="57"/>
      <c r="K15" s="64"/>
      <c r="L15" s="58"/>
      <c r="M15" s="57"/>
      <c r="N15" s="57"/>
      <c r="O15" s="57"/>
      <c r="P15" s="57"/>
      <c r="Q15" s="57"/>
      <c r="R15" s="57"/>
      <c r="S15" s="57"/>
      <c r="T15" s="57"/>
      <c r="U15" s="57"/>
    </row>
    <row r="16" s="9" customFormat="1" ht="56" spans="1:35">
      <c r="A16" s="57" t="s">
        <v>51</v>
      </c>
      <c r="B16" s="64">
        <v>46134</v>
      </c>
      <c r="C16" s="64"/>
      <c r="D16" s="57" t="s">
        <v>52</v>
      </c>
      <c r="E16" s="9" t="s">
        <v>41</v>
      </c>
      <c r="F16" s="57">
        <v>12</v>
      </c>
      <c r="G16" s="57">
        <v>120</v>
      </c>
      <c r="H16" s="58">
        <f t="shared" ref="H16:H52" si="1">F16*G16</f>
        <v>1440</v>
      </c>
      <c r="I16" s="58" t="s">
        <v>24</v>
      </c>
      <c r="J16" s="57"/>
      <c r="K16" s="64">
        <v>46132</v>
      </c>
      <c r="L16" s="58" t="s">
        <v>53</v>
      </c>
      <c r="M16" s="57"/>
      <c r="N16" s="57"/>
      <c r="O16" s="57"/>
      <c r="P16" s="57"/>
      <c r="Q16" s="57"/>
      <c r="R16" s="57" t="s">
        <v>54</v>
      </c>
      <c r="S16" s="57"/>
      <c r="T16" s="57"/>
      <c r="U16" s="57"/>
    </row>
    <row r="17" s="12" customFormat="1" ht="105" customHeight="1" spans="1:21">
      <c r="A17" s="67" t="s">
        <v>55</v>
      </c>
      <c r="B17" s="68">
        <v>46099</v>
      </c>
      <c r="C17" s="68"/>
      <c r="D17" s="67" t="s">
        <v>56</v>
      </c>
      <c r="E17" s="69" t="s">
        <v>41</v>
      </c>
      <c r="F17" s="70">
        <v>12</v>
      </c>
      <c r="G17" s="70">
        <v>20</v>
      </c>
      <c r="H17" s="46">
        <f t="shared" si="1"/>
        <v>240</v>
      </c>
      <c r="I17" s="46" t="s">
        <v>24</v>
      </c>
      <c r="J17" s="70"/>
      <c r="K17" s="70"/>
      <c r="L17" s="71"/>
      <c r="M17" s="70"/>
      <c r="N17" s="70"/>
      <c r="O17" s="70" t="s">
        <v>57</v>
      </c>
      <c r="P17" s="70"/>
      <c r="Q17" s="67"/>
      <c r="R17" s="67" t="s">
        <v>58</v>
      </c>
      <c r="S17" s="70"/>
      <c r="T17" s="70"/>
      <c r="U17" s="70"/>
    </row>
    <row r="18" s="10" customFormat="1" ht="22.5" customHeight="1" spans="1:21">
      <c r="A18" s="72" t="s">
        <v>59</v>
      </c>
      <c r="B18" s="73"/>
      <c r="C18" s="73"/>
      <c r="D18" s="74" t="s">
        <v>60</v>
      </c>
      <c r="E18" s="39" t="s">
        <v>44</v>
      </c>
      <c r="F18" s="75">
        <v>12</v>
      </c>
      <c r="G18" s="75">
        <v>20</v>
      </c>
      <c r="H18" s="11">
        <f t="shared" si="1"/>
        <v>240</v>
      </c>
      <c r="I18" s="11" t="s">
        <v>24</v>
      </c>
      <c r="J18" s="75"/>
      <c r="K18" s="75"/>
      <c r="L18" s="11"/>
      <c r="M18" s="75"/>
      <c r="N18" s="75"/>
      <c r="O18" s="75"/>
      <c r="P18" s="75"/>
      <c r="Q18" s="75"/>
      <c r="R18" s="75" t="s">
        <v>61</v>
      </c>
      <c r="S18" s="75"/>
      <c r="T18" s="75"/>
      <c r="U18" s="75"/>
    </row>
    <row r="19" s="10" customFormat="1" ht="22.5" customHeight="1" spans="1:21">
      <c r="A19" s="72"/>
      <c r="B19" s="73"/>
      <c r="C19" s="73"/>
      <c r="D19" s="74"/>
      <c r="E19" s="39" t="s">
        <v>41</v>
      </c>
      <c r="F19" s="75">
        <v>12</v>
      </c>
      <c r="G19" s="75">
        <v>20</v>
      </c>
      <c r="H19" s="11">
        <f t="shared" si="1"/>
        <v>240</v>
      </c>
      <c r="I19" s="11" t="s">
        <v>24</v>
      </c>
      <c r="J19" s="75"/>
      <c r="K19" s="75"/>
      <c r="L19" s="11"/>
      <c r="M19" s="75"/>
      <c r="N19" s="75"/>
      <c r="O19" s="75"/>
      <c r="P19" s="75"/>
      <c r="Q19" s="75"/>
      <c r="R19" s="75"/>
      <c r="S19" s="75"/>
      <c r="T19" s="75"/>
      <c r="U19" s="75"/>
    </row>
    <row r="20" s="10" customFormat="1" ht="22.5" customHeight="1" spans="1:21">
      <c r="A20" s="72" t="s">
        <v>62</v>
      </c>
      <c r="B20" s="76">
        <v>46087</v>
      </c>
      <c r="C20" s="76"/>
      <c r="D20" s="74" t="s">
        <v>63</v>
      </c>
      <c r="E20" s="39" t="s">
        <v>44</v>
      </c>
      <c r="F20" s="75">
        <v>12</v>
      </c>
      <c r="G20" s="75">
        <v>4</v>
      </c>
      <c r="H20" s="11">
        <f t="shared" si="1"/>
        <v>48</v>
      </c>
      <c r="I20" s="11" t="s">
        <v>24</v>
      </c>
      <c r="J20" s="75"/>
      <c r="K20" s="75"/>
      <c r="L20" s="77"/>
      <c r="M20" s="75"/>
      <c r="N20" s="75"/>
      <c r="O20" s="75"/>
      <c r="P20" s="75"/>
      <c r="Q20" s="75"/>
      <c r="R20" s="75" t="s">
        <v>64</v>
      </c>
      <c r="S20" s="75"/>
      <c r="T20" s="75"/>
      <c r="U20" s="75"/>
    </row>
    <row r="21" s="10" customFormat="1" ht="22.5" customHeight="1" spans="1:21">
      <c r="A21" s="72"/>
      <c r="B21" s="76">
        <v>46087</v>
      </c>
      <c r="C21" s="76"/>
      <c r="D21" s="74"/>
      <c r="E21" s="39" t="s">
        <v>41</v>
      </c>
      <c r="F21" s="75">
        <v>12</v>
      </c>
      <c r="G21" s="75">
        <v>4</v>
      </c>
      <c r="H21" s="11">
        <f t="shared" si="1"/>
        <v>48</v>
      </c>
      <c r="I21" s="11" t="s">
        <v>24</v>
      </c>
      <c r="J21" s="75"/>
      <c r="K21" s="75"/>
      <c r="L21" s="77"/>
      <c r="M21" s="75"/>
      <c r="N21" s="75"/>
      <c r="O21" s="75"/>
      <c r="P21" s="75"/>
      <c r="Q21" s="75"/>
      <c r="R21" s="75"/>
      <c r="S21" s="75"/>
      <c r="T21" s="75"/>
      <c r="U21" s="75"/>
    </row>
    <row r="22" s="10" customFormat="1" ht="22.5" customHeight="1" spans="1:21">
      <c r="A22" s="72"/>
      <c r="B22" s="76">
        <v>46087</v>
      </c>
      <c r="C22" s="76"/>
      <c r="D22" s="74"/>
      <c r="E22" s="39" t="s">
        <v>49</v>
      </c>
      <c r="F22" s="75">
        <v>12</v>
      </c>
      <c r="G22" s="75">
        <v>4</v>
      </c>
      <c r="H22" s="11">
        <f t="shared" si="1"/>
        <v>48</v>
      </c>
      <c r="I22" s="11" t="s">
        <v>24</v>
      </c>
      <c r="J22" s="75"/>
      <c r="K22" s="75"/>
      <c r="L22" s="77"/>
      <c r="M22" s="75"/>
      <c r="N22" s="75"/>
      <c r="O22" s="75"/>
      <c r="P22" s="75"/>
      <c r="Q22" s="75"/>
      <c r="R22" s="75"/>
      <c r="S22" s="75"/>
      <c r="T22" s="75"/>
      <c r="U22" s="75"/>
    </row>
    <row r="23" s="12" customFormat="1" ht="39" customHeight="1" spans="1:21">
      <c r="A23" s="78" t="s">
        <v>65</v>
      </c>
      <c r="B23" s="79">
        <v>46084</v>
      </c>
      <c r="C23" s="79"/>
      <c r="D23" s="80" t="s">
        <v>66</v>
      </c>
      <c r="E23" s="80" t="s">
        <v>67</v>
      </c>
      <c r="F23" s="49"/>
      <c r="G23" s="49"/>
      <c r="H23" s="50">
        <v>30</v>
      </c>
      <c r="I23" s="50" t="s">
        <v>24</v>
      </c>
      <c r="J23" s="49"/>
      <c r="K23" s="49"/>
      <c r="L23" s="81"/>
      <c r="M23" s="49" t="s">
        <v>68</v>
      </c>
      <c r="N23" s="49"/>
      <c r="O23" s="49"/>
      <c r="P23" s="49"/>
      <c r="Q23" s="57"/>
      <c r="R23" s="57"/>
      <c r="S23" s="57"/>
      <c r="T23" s="49"/>
      <c r="U23" s="49"/>
    </row>
    <row r="24" s="12" customFormat="1" ht="121.5" customHeight="1" spans="1:21">
      <c r="A24" s="78" t="s">
        <v>69</v>
      </c>
      <c r="B24" s="79">
        <v>46094</v>
      </c>
      <c r="C24" s="79"/>
      <c r="D24" s="5" t="s">
        <v>70</v>
      </c>
      <c r="E24" s="69" t="s">
        <v>41</v>
      </c>
      <c r="F24" s="70">
        <v>12</v>
      </c>
      <c r="G24" s="70">
        <v>60</v>
      </c>
      <c r="H24" s="46">
        <f t="shared" si="1"/>
        <v>720</v>
      </c>
      <c r="I24" s="46" t="s">
        <v>24</v>
      </c>
      <c r="J24" s="70"/>
      <c r="K24" s="70"/>
      <c r="L24" s="71"/>
      <c r="M24" s="70"/>
      <c r="N24" s="70"/>
      <c r="O24" s="70"/>
      <c r="P24" s="70"/>
      <c r="Q24" s="67"/>
      <c r="R24" s="67" t="s">
        <v>71</v>
      </c>
      <c r="S24" s="70"/>
      <c r="T24" s="70"/>
      <c r="U24" s="70"/>
    </row>
    <row r="25" s="12" customFormat="1" ht="22.5" customHeight="1" spans="1:21">
      <c r="A25" s="82" t="s">
        <v>72</v>
      </c>
      <c r="B25" s="79">
        <v>46094</v>
      </c>
      <c r="C25" s="79"/>
      <c r="D25" s="82" t="s">
        <v>73</v>
      </c>
      <c r="E25" s="5" t="s">
        <v>74</v>
      </c>
      <c r="F25" s="83">
        <v>12</v>
      </c>
      <c r="G25" s="83">
        <v>10</v>
      </c>
      <c r="H25" s="50">
        <f t="shared" si="1"/>
        <v>120</v>
      </c>
      <c r="I25" s="50" t="s">
        <v>24</v>
      </c>
      <c r="J25" s="83"/>
      <c r="K25" s="83"/>
      <c r="L25" s="81"/>
      <c r="M25" s="83"/>
      <c r="N25" s="83"/>
      <c r="O25" s="83"/>
      <c r="P25" s="83"/>
      <c r="Q25" s="84"/>
      <c r="R25" s="84" t="s">
        <v>75</v>
      </c>
      <c r="S25" s="83"/>
      <c r="T25" s="83"/>
      <c r="U25" s="83"/>
    </row>
    <row r="26" s="12" customFormat="1" ht="22.5" customHeight="1" spans="1:21">
      <c r="A26" s="82"/>
      <c r="B26" s="79">
        <v>46094</v>
      </c>
      <c r="C26" s="79"/>
      <c r="D26" s="82"/>
      <c r="E26" s="5" t="s">
        <v>76</v>
      </c>
      <c r="F26" s="83">
        <v>12</v>
      </c>
      <c r="G26" s="83">
        <v>10</v>
      </c>
      <c r="H26" s="50">
        <f t="shared" si="1"/>
        <v>120</v>
      </c>
      <c r="I26" s="50" t="s">
        <v>24</v>
      </c>
      <c r="J26" s="83"/>
      <c r="K26" s="83"/>
      <c r="L26" s="81"/>
      <c r="M26" s="83"/>
      <c r="N26" s="83"/>
      <c r="O26" s="83"/>
      <c r="P26" s="83"/>
      <c r="Q26" s="83"/>
      <c r="R26" s="83"/>
      <c r="S26" s="83"/>
      <c r="T26" s="83"/>
      <c r="U26" s="83"/>
    </row>
    <row r="27" s="12" customFormat="1" ht="22.5" customHeight="1" spans="1:21">
      <c r="A27" s="82"/>
      <c r="B27" s="79">
        <v>46094</v>
      </c>
      <c r="C27" s="79"/>
      <c r="D27" s="82"/>
      <c r="E27" s="69" t="s">
        <v>77</v>
      </c>
      <c r="F27" s="83">
        <v>12</v>
      </c>
      <c r="G27" s="83">
        <v>9</v>
      </c>
      <c r="H27" s="50">
        <f t="shared" si="1"/>
        <v>108</v>
      </c>
      <c r="I27" s="50" t="s">
        <v>24</v>
      </c>
      <c r="J27" s="83"/>
      <c r="K27" s="83"/>
      <c r="L27" s="81"/>
      <c r="M27" s="83"/>
      <c r="N27" s="83"/>
      <c r="O27" s="83"/>
      <c r="P27" s="83"/>
      <c r="Q27" s="83"/>
      <c r="R27" s="83"/>
      <c r="S27" s="83"/>
      <c r="T27" s="83"/>
      <c r="U27" s="83"/>
    </row>
    <row r="28" s="12" customFormat="1" ht="22.5" customHeight="1" spans="1:21">
      <c r="A28" s="82"/>
      <c r="B28" s="79">
        <v>46094</v>
      </c>
      <c r="C28" s="79"/>
      <c r="D28" s="82"/>
      <c r="E28" s="69" t="s">
        <v>41</v>
      </c>
      <c r="F28" s="83">
        <v>12</v>
      </c>
      <c r="G28" s="83">
        <v>10</v>
      </c>
      <c r="H28" s="50">
        <f t="shared" si="1"/>
        <v>120</v>
      </c>
      <c r="I28" s="50" t="s">
        <v>24</v>
      </c>
      <c r="J28" s="83"/>
      <c r="K28" s="83"/>
      <c r="L28" s="81"/>
      <c r="M28" s="83"/>
      <c r="N28" s="83"/>
      <c r="O28" s="83"/>
      <c r="P28" s="83"/>
      <c r="Q28" s="83"/>
      <c r="R28" s="83"/>
      <c r="S28" s="83"/>
      <c r="T28" s="83"/>
      <c r="U28" s="83"/>
    </row>
    <row r="29" s="12" customFormat="1" ht="22.5" customHeight="1" spans="1:21">
      <c r="A29" s="82"/>
      <c r="B29" s="79">
        <v>46094</v>
      </c>
      <c r="C29" s="79"/>
      <c r="D29" s="82"/>
      <c r="E29" s="5" t="s">
        <v>78</v>
      </c>
      <c r="F29" s="83">
        <v>12</v>
      </c>
      <c r="G29" s="83">
        <v>10</v>
      </c>
      <c r="H29" s="50">
        <f t="shared" si="1"/>
        <v>120</v>
      </c>
      <c r="I29" s="50" t="s">
        <v>24</v>
      </c>
      <c r="J29" s="83"/>
      <c r="K29" s="83"/>
      <c r="L29" s="81"/>
      <c r="M29" s="83"/>
      <c r="N29" s="83"/>
      <c r="O29" s="83"/>
      <c r="P29" s="83"/>
      <c r="Q29" s="83"/>
      <c r="R29" s="83"/>
      <c r="S29" s="83"/>
      <c r="T29" s="83"/>
      <c r="U29" s="83"/>
    </row>
    <row r="30" s="12" customFormat="1" ht="22.5" customHeight="1" spans="1:21">
      <c r="A30" s="82"/>
      <c r="B30" s="79">
        <v>46094</v>
      </c>
      <c r="C30" s="79"/>
      <c r="D30" s="82"/>
      <c r="E30" s="5" t="s">
        <v>79</v>
      </c>
      <c r="F30" s="83">
        <v>12</v>
      </c>
      <c r="G30" s="83">
        <v>5</v>
      </c>
      <c r="H30" s="50">
        <f t="shared" si="1"/>
        <v>60</v>
      </c>
      <c r="I30" s="50" t="s">
        <v>24</v>
      </c>
      <c r="J30" s="83"/>
      <c r="K30" s="83"/>
      <c r="L30" s="81"/>
      <c r="M30" s="83"/>
      <c r="N30" s="83"/>
      <c r="O30" s="83"/>
      <c r="P30" s="83"/>
      <c r="Q30" s="83"/>
      <c r="R30" s="83"/>
      <c r="S30" s="83"/>
      <c r="T30" s="83"/>
      <c r="U30" s="83"/>
    </row>
    <row r="31" s="12" customFormat="1" ht="22.5" customHeight="1" spans="1:21">
      <c r="A31" s="82"/>
      <c r="B31" s="79">
        <v>46094</v>
      </c>
      <c r="C31" s="79"/>
      <c r="D31" s="82"/>
      <c r="E31" s="5" t="s">
        <v>80</v>
      </c>
      <c r="F31" s="83">
        <v>12</v>
      </c>
      <c r="G31" s="83">
        <v>5</v>
      </c>
      <c r="H31" s="50">
        <f t="shared" si="1"/>
        <v>60</v>
      </c>
      <c r="I31" s="50" t="s">
        <v>24</v>
      </c>
      <c r="J31" s="83"/>
      <c r="K31" s="83"/>
      <c r="L31" s="81"/>
      <c r="M31" s="83"/>
      <c r="N31" s="83"/>
      <c r="O31" s="83"/>
      <c r="P31" s="83"/>
      <c r="Q31" s="83"/>
      <c r="R31" s="83"/>
      <c r="S31" s="83"/>
      <c r="T31" s="83"/>
      <c r="U31" s="83"/>
    </row>
    <row r="32" s="12" customFormat="1" ht="22.5" customHeight="1" spans="1:21">
      <c r="A32" s="82"/>
      <c r="B32" s="79">
        <v>46094</v>
      </c>
      <c r="C32" s="79"/>
      <c r="D32" s="82"/>
      <c r="E32" s="5" t="s">
        <v>81</v>
      </c>
      <c r="F32" s="83">
        <v>12</v>
      </c>
      <c r="G32" s="83">
        <v>5</v>
      </c>
      <c r="H32" s="50">
        <f t="shared" si="1"/>
        <v>60</v>
      </c>
      <c r="I32" s="50" t="s">
        <v>24</v>
      </c>
      <c r="J32" s="83"/>
      <c r="K32" s="83"/>
      <c r="L32" s="81"/>
      <c r="M32" s="83"/>
      <c r="N32" s="83"/>
      <c r="O32" s="83"/>
      <c r="P32" s="83"/>
      <c r="Q32" s="83"/>
      <c r="R32" s="83"/>
      <c r="S32" s="83"/>
      <c r="T32" s="83"/>
      <c r="U32" s="83"/>
    </row>
    <row r="33" s="9" customFormat="1" ht="61" customHeight="1" spans="1:21">
      <c r="A33" s="85" t="s">
        <v>82</v>
      </c>
      <c r="B33" s="86"/>
      <c r="C33" s="86"/>
      <c r="D33" s="85" t="s">
        <v>83</v>
      </c>
      <c r="E33" s="36" t="s">
        <v>44</v>
      </c>
      <c r="F33" s="59">
        <v>12</v>
      </c>
      <c r="G33" s="59">
        <v>100</v>
      </c>
      <c r="H33" s="63">
        <f t="shared" si="1"/>
        <v>1200</v>
      </c>
      <c r="I33" s="63" t="s">
        <v>24</v>
      </c>
      <c r="J33" s="59"/>
      <c r="K33" s="87" t="s">
        <v>84</v>
      </c>
      <c r="L33" s="63"/>
      <c r="M33" s="59"/>
      <c r="N33" s="59"/>
      <c r="O33" s="59"/>
      <c r="P33" s="59"/>
      <c r="Q33" s="59"/>
      <c r="R33" s="59" t="s">
        <v>85</v>
      </c>
      <c r="S33" s="59"/>
      <c r="T33" s="59"/>
      <c r="U33" s="59"/>
    </row>
    <row r="34" s="9" customFormat="1" ht="61" customHeight="1" spans="1:21">
      <c r="A34" s="85"/>
      <c r="B34" s="86"/>
      <c r="C34" s="86"/>
      <c r="D34" s="85"/>
      <c r="E34" s="9" t="s">
        <v>41</v>
      </c>
      <c r="F34" s="59">
        <v>12</v>
      </c>
      <c r="G34" s="59">
        <v>100</v>
      </c>
      <c r="H34" s="63">
        <f t="shared" si="1"/>
        <v>1200</v>
      </c>
      <c r="I34" s="63" t="s">
        <v>24</v>
      </c>
      <c r="J34" s="59"/>
      <c r="K34" s="87" t="s">
        <v>86</v>
      </c>
      <c r="L34" s="63"/>
      <c r="M34" s="59"/>
      <c r="N34" s="59"/>
      <c r="O34" s="59"/>
      <c r="P34" s="59"/>
      <c r="Q34" s="59"/>
      <c r="R34" s="59"/>
      <c r="S34" s="59"/>
      <c r="T34" s="59"/>
      <c r="U34" s="59"/>
    </row>
    <row r="35" s="9" customFormat="1" ht="61" customHeight="1" spans="1:21">
      <c r="A35" s="85"/>
      <c r="B35" s="86"/>
      <c r="C35" s="86"/>
      <c r="D35" s="85"/>
      <c r="E35" s="36" t="s">
        <v>49</v>
      </c>
      <c r="F35" s="59">
        <v>12</v>
      </c>
      <c r="G35" s="59">
        <v>100</v>
      </c>
      <c r="H35" s="63">
        <f t="shared" si="1"/>
        <v>1200</v>
      </c>
      <c r="I35" s="63" t="s">
        <v>24</v>
      </c>
      <c r="J35" s="59"/>
      <c r="K35" s="87" t="s">
        <v>86</v>
      </c>
      <c r="L35" s="63"/>
      <c r="M35" s="59"/>
      <c r="N35" s="59"/>
      <c r="O35" s="59"/>
      <c r="P35" s="59"/>
      <c r="Q35" s="59"/>
      <c r="R35" s="59"/>
      <c r="S35" s="59"/>
      <c r="T35" s="59"/>
      <c r="U35" s="59"/>
    </row>
    <row r="36" s="12" customFormat="1" ht="39" customHeight="1" spans="1:21">
      <c r="A36" s="84" t="s">
        <v>87</v>
      </c>
      <c r="B36" s="88">
        <v>46099</v>
      </c>
      <c r="C36" s="88"/>
      <c r="D36" s="84" t="s">
        <v>88</v>
      </c>
      <c r="E36" s="84" t="s">
        <v>89</v>
      </c>
      <c r="F36" s="83">
        <v>12</v>
      </c>
      <c r="G36" s="83">
        <v>15</v>
      </c>
      <c r="H36" s="50">
        <f t="shared" si="1"/>
        <v>180</v>
      </c>
      <c r="I36" s="50" t="s">
        <v>24</v>
      </c>
      <c r="J36" s="83"/>
      <c r="K36" s="83"/>
      <c r="L36" s="81"/>
      <c r="M36" s="83"/>
      <c r="N36" s="83"/>
      <c r="O36" s="83"/>
      <c r="P36" s="83"/>
      <c r="Q36" s="84"/>
      <c r="R36" s="84" t="s">
        <v>90</v>
      </c>
      <c r="S36" s="83"/>
      <c r="T36" s="83"/>
      <c r="U36" s="83"/>
    </row>
    <row r="37" s="12" customFormat="1" ht="22.5" customHeight="1" spans="1:21">
      <c r="A37" s="84"/>
      <c r="B37" s="88">
        <v>46099</v>
      </c>
      <c r="C37" s="88"/>
      <c r="D37" s="84"/>
      <c r="E37" s="69" t="s">
        <v>41</v>
      </c>
      <c r="F37" s="83">
        <v>12</v>
      </c>
      <c r="G37" s="83">
        <v>15</v>
      </c>
      <c r="H37" s="50">
        <f t="shared" si="1"/>
        <v>180</v>
      </c>
      <c r="I37" s="50" t="s">
        <v>24</v>
      </c>
      <c r="J37" s="83"/>
      <c r="K37" s="83"/>
      <c r="L37" s="81"/>
      <c r="M37" s="83"/>
      <c r="N37" s="83"/>
      <c r="O37" s="83"/>
      <c r="P37" s="83"/>
      <c r="Q37" s="84"/>
      <c r="R37" s="84"/>
      <c r="S37" s="83"/>
      <c r="T37" s="83"/>
      <c r="U37" s="83"/>
    </row>
    <row r="38" s="12" customFormat="1" ht="22.5" customHeight="1" spans="1:21">
      <c r="A38" s="67" t="s">
        <v>91</v>
      </c>
      <c r="B38" s="89">
        <v>46106</v>
      </c>
      <c r="C38" s="89"/>
      <c r="D38" s="67" t="s">
        <v>92</v>
      </c>
      <c r="E38" s="67" t="s">
        <v>93</v>
      </c>
      <c r="F38" s="70">
        <v>12</v>
      </c>
      <c r="G38" s="70">
        <v>10</v>
      </c>
      <c r="H38" s="46">
        <f t="shared" si="1"/>
        <v>120</v>
      </c>
      <c r="I38" s="46" t="s">
        <v>24</v>
      </c>
      <c r="J38" s="70"/>
      <c r="K38" s="70"/>
      <c r="L38" s="71"/>
      <c r="M38" s="70"/>
      <c r="N38" s="70"/>
      <c r="O38" s="70"/>
      <c r="P38" s="70"/>
      <c r="Q38" s="67"/>
      <c r="R38" s="67"/>
      <c r="S38" s="70"/>
      <c r="T38" s="70"/>
      <c r="U38" s="70"/>
    </row>
    <row r="39" s="12" customFormat="1" ht="22.5" customHeight="1" spans="1:21">
      <c r="A39" s="84" t="s">
        <v>94</v>
      </c>
      <c r="B39" s="88">
        <v>46099</v>
      </c>
      <c r="C39" s="88"/>
      <c r="D39" s="84" t="s">
        <v>95</v>
      </c>
      <c r="E39" s="69" t="s">
        <v>41</v>
      </c>
      <c r="F39" s="83">
        <v>12</v>
      </c>
      <c r="G39" s="83">
        <v>30</v>
      </c>
      <c r="H39" s="50">
        <f t="shared" si="1"/>
        <v>360</v>
      </c>
      <c r="I39" s="50" t="s">
        <v>24</v>
      </c>
      <c r="J39" s="83"/>
      <c r="K39" s="83"/>
      <c r="L39" s="81"/>
      <c r="M39" s="83"/>
      <c r="N39" s="83"/>
      <c r="O39" s="83"/>
      <c r="P39" s="83"/>
      <c r="Q39" s="84"/>
      <c r="R39" s="84"/>
      <c r="S39" s="83"/>
      <c r="T39" s="83"/>
      <c r="U39" s="83"/>
    </row>
    <row r="40" s="12" customFormat="1" ht="22.5" customHeight="1" spans="1:21">
      <c r="A40" s="67" t="s">
        <v>96</v>
      </c>
      <c r="B40" s="89">
        <v>46103</v>
      </c>
      <c r="C40" s="89"/>
      <c r="D40" s="67" t="s">
        <v>97</v>
      </c>
      <c r="E40" s="5" t="s">
        <v>44</v>
      </c>
      <c r="F40" s="70">
        <v>12</v>
      </c>
      <c r="G40" s="70">
        <v>10</v>
      </c>
      <c r="H40" s="46">
        <f t="shared" si="1"/>
        <v>120</v>
      </c>
      <c r="I40" s="46" t="s">
        <v>24</v>
      </c>
      <c r="J40" s="70"/>
      <c r="K40" s="70"/>
      <c r="L40" s="71"/>
      <c r="M40" s="70"/>
      <c r="N40" s="70"/>
      <c r="O40" s="70"/>
      <c r="P40" s="70"/>
      <c r="Q40" s="67"/>
      <c r="R40" s="67"/>
      <c r="S40" s="70"/>
      <c r="T40" s="70"/>
      <c r="U40" s="70"/>
    </row>
    <row r="41" s="12" customFormat="1" ht="22.5" customHeight="1" spans="1:21">
      <c r="A41" s="67"/>
      <c r="B41" s="89">
        <v>46103</v>
      </c>
      <c r="C41" s="89"/>
      <c r="D41" s="67"/>
      <c r="E41" s="69" t="s">
        <v>41</v>
      </c>
      <c r="F41" s="70">
        <v>12</v>
      </c>
      <c r="G41" s="70">
        <v>10</v>
      </c>
      <c r="H41" s="46">
        <f t="shared" si="1"/>
        <v>120</v>
      </c>
      <c r="I41" s="46" t="s">
        <v>24</v>
      </c>
      <c r="J41" s="70"/>
      <c r="K41" s="70"/>
      <c r="L41" s="71"/>
      <c r="M41" s="70"/>
      <c r="N41" s="70"/>
      <c r="O41" s="70"/>
      <c r="P41" s="70"/>
      <c r="Q41" s="67"/>
      <c r="R41" s="67"/>
      <c r="S41" s="70"/>
      <c r="T41" s="70"/>
      <c r="U41" s="70"/>
    </row>
    <row r="42" s="12" customFormat="1" ht="22.5" customHeight="1" spans="1:21">
      <c r="A42" s="67"/>
      <c r="B42" s="89">
        <v>46103</v>
      </c>
      <c r="C42" s="89"/>
      <c r="D42" s="67"/>
      <c r="E42" s="5" t="s">
        <v>49</v>
      </c>
      <c r="F42" s="70">
        <v>12</v>
      </c>
      <c r="G42" s="70">
        <v>10</v>
      </c>
      <c r="H42" s="46">
        <f t="shared" si="1"/>
        <v>120</v>
      </c>
      <c r="I42" s="46" t="s">
        <v>24</v>
      </c>
      <c r="J42" s="70"/>
      <c r="K42" s="70"/>
      <c r="L42" s="71"/>
      <c r="M42" s="70"/>
      <c r="N42" s="70"/>
      <c r="O42" s="70"/>
      <c r="P42" s="70"/>
      <c r="Q42" s="67"/>
      <c r="R42" s="67"/>
      <c r="S42" s="70"/>
      <c r="T42" s="70"/>
      <c r="U42" s="70"/>
    </row>
    <row r="43" s="12" customFormat="1" ht="22.5" customHeight="1" spans="1:21">
      <c r="A43" s="84" t="s">
        <v>98</v>
      </c>
      <c r="B43" s="88">
        <v>46099</v>
      </c>
      <c r="C43" s="88"/>
      <c r="D43" s="84" t="s">
        <v>99</v>
      </c>
      <c r="E43" s="84" t="s">
        <v>93</v>
      </c>
      <c r="F43" s="83">
        <v>12</v>
      </c>
      <c r="G43" s="83">
        <v>10</v>
      </c>
      <c r="H43" s="50">
        <f t="shared" si="1"/>
        <v>120</v>
      </c>
      <c r="I43" s="50" t="s">
        <v>24</v>
      </c>
      <c r="J43" s="83"/>
      <c r="K43" s="83"/>
      <c r="L43" s="81"/>
      <c r="M43" s="83"/>
      <c r="N43" s="83"/>
      <c r="O43" s="83"/>
      <c r="P43" s="83"/>
      <c r="Q43" s="84"/>
      <c r="R43" s="84"/>
      <c r="S43" s="83"/>
      <c r="T43" s="83"/>
      <c r="U43" s="83"/>
    </row>
    <row r="44" s="12" customFormat="1" ht="22.5" customHeight="1" spans="1:21">
      <c r="A44" s="84"/>
      <c r="B44" s="88">
        <v>46099</v>
      </c>
      <c r="C44" s="88"/>
      <c r="D44" s="84"/>
      <c r="E44" s="5" t="s">
        <v>49</v>
      </c>
      <c r="F44" s="83">
        <v>12</v>
      </c>
      <c r="G44" s="83">
        <v>13</v>
      </c>
      <c r="H44" s="50">
        <f t="shared" si="1"/>
        <v>156</v>
      </c>
      <c r="I44" s="50" t="s">
        <v>24</v>
      </c>
      <c r="J44" s="83"/>
      <c r="K44" s="83"/>
      <c r="L44" s="81"/>
      <c r="M44" s="83"/>
      <c r="N44" s="83"/>
      <c r="O44" s="83"/>
      <c r="P44" s="83"/>
      <c r="Q44" s="84"/>
      <c r="R44" s="84"/>
      <c r="S44" s="83"/>
      <c r="T44" s="83"/>
      <c r="U44" s="83"/>
    </row>
    <row r="45" s="12" customFormat="1" ht="22.5" customHeight="1" spans="1:21">
      <c r="A45" s="84"/>
      <c r="B45" s="88">
        <v>46099</v>
      </c>
      <c r="C45" s="88"/>
      <c r="D45" s="84"/>
      <c r="E45" s="69" t="s">
        <v>41</v>
      </c>
      <c r="F45" s="83">
        <v>12</v>
      </c>
      <c r="G45" s="83">
        <v>10</v>
      </c>
      <c r="H45" s="50">
        <f t="shared" si="1"/>
        <v>120</v>
      </c>
      <c r="I45" s="50" t="s">
        <v>24</v>
      </c>
      <c r="J45" s="83"/>
      <c r="K45" s="83"/>
      <c r="L45" s="81"/>
      <c r="M45" s="83"/>
      <c r="N45" s="83"/>
      <c r="O45" s="83"/>
      <c r="P45" s="83"/>
      <c r="Q45" s="84"/>
      <c r="R45" s="84"/>
      <c r="S45" s="83"/>
      <c r="T45" s="83"/>
      <c r="U45" s="83"/>
    </row>
    <row r="46" s="12" customFormat="1" ht="22.5" customHeight="1" spans="1:21">
      <c r="A46" s="67" t="s">
        <v>100</v>
      </c>
      <c r="B46" s="90">
        <v>46102</v>
      </c>
      <c r="C46" s="90"/>
      <c r="D46" s="67" t="s">
        <v>101</v>
      </c>
      <c r="E46" s="67" t="s">
        <v>102</v>
      </c>
      <c r="F46" s="70">
        <v>12</v>
      </c>
      <c r="G46" s="70">
        <v>20</v>
      </c>
      <c r="H46" s="46">
        <f t="shared" si="1"/>
        <v>240</v>
      </c>
      <c r="I46" s="46" t="s">
        <v>24</v>
      </c>
      <c r="J46" s="70"/>
      <c r="K46" s="70"/>
      <c r="L46" s="71"/>
      <c r="M46" s="70"/>
      <c r="N46" s="70"/>
      <c r="O46" s="70"/>
      <c r="P46" s="70"/>
      <c r="Q46" s="67"/>
      <c r="R46" s="67"/>
      <c r="S46" s="70"/>
      <c r="T46" s="70"/>
      <c r="U46" s="70"/>
    </row>
    <row r="47" s="12" customFormat="1" ht="22.5" customHeight="1" spans="1:21">
      <c r="A47" s="67"/>
      <c r="B47" s="90">
        <v>46102</v>
      </c>
      <c r="C47" s="90"/>
      <c r="D47" s="67"/>
      <c r="E47" s="67" t="s">
        <v>93</v>
      </c>
      <c r="F47" s="70">
        <v>12</v>
      </c>
      <c r="G47" s="70">
        <v>20</v>
      </c>
      <c r="H47" s="46">
        <f t="shared" si="1"/>
        <v>240</v>
      </c>
      <c r="I47" s="46" t="s">
        <v>24</v>
      </c>
      <c r="J47" s="70"/>
      <c r="K47" s="70"/>
      <c r="L47" s="71"/>
      <c r="M47" s="70"/>
      <c r="N47" s="70"/>
      <c r="O47" s="70"/>
      <c r="P47" s="70"/>
      <c r="Q47" s="67"/>
      <c r="R47" s="67"/>
      <c r="S47" s="70"/>
      <c r="T47" s="70"/>
      <c r="U47" s="70"/>
    </row>
    <row r="48" s="12" customFormat="1" ht="22.5" customHeight="1" spans="1:21">
      <c r="A48" s="67" t="s">
        <v>103</v>
      </c>
      <c r="B48" s="90">
        <v>46089</v>
      </c>
      <c r="C48" s="90"/>
      <c r="D48" s="67" t="s">
        <v>104</v>
      </c>
      <c r="E48" s="5" t="s">
        <v>49</v>
      </c>
      <c r="F48" s="83">
        <v>12</v>
      </c>
      <c r="G48" s="83">
        <v>50</v>
      </c>
      <c r="H48" s="50">
        <f t="shared" si="1"/>
        <v>600</v>
      </c>
      <c r="I48" s="50" t="s">
        <v>24</v>
      </c>
      <c r="J48" s="83"/>
      <c r="K48" s="83"/>
      <c r="L48" s="81"/>
      <c r="M48" s="83"/>
      <c r="N48" s="83"/>
      <c r="O48" s="83"/>
      <c r="P48" s="83"/>
      <c r="Q48" s="84"/>
      <c r="R48" s="84"/>
      <c r="S48" s="83"/>
      <c r="T48" s="83"/>
      <c r="U48" s="83"/>
    </row>
    <row r="49" s="9" customFormat="1" ht="22.5" customHeight="1" spans="1:21">
      <c r="A49" s="57" t="s">
        <v>105</v>
      </c>
      <c r="B49" s="54">
        <v>46101</v>
      </c>
      <c r="C49" s="54"/>
      <c r="D49" s="57" t="s">
        <v>106</v>
      </c>
      <c r="E49" s="36" t="s">
        <v>44</v>
      </c>
      <c r="F49" s="57">
        <v>12</v>
      </c>
      <c r="G49" s="57">
        <v>10</v>
      </c>
      <c r="H49" s="58">
        <f t="shared" si="1"/>
        <v>120</v>
      </c>
      <c r="I49" s="58" t="s">
        <v>24</v>
      </c>
      <c r="J49" s="57"/>
      <c r="K49" s="57"/>
      <c r="L49" s="58"/>
      <c r="M49" s="57" t="s">
        <v>107</v>
      </c>
      <c r="N49" s="57"/>
      <c r="O49" s="57"/>
      <c r="P49" s="57"/>
      <c r="Q49" s="57"/>
      <c r="R49" s="57"/>
      <c r="S49" s="57"/>
      <c r="T49" s="57"/>
      <c r="U49" s="57"/>
    </row>
    <row r="50" s="9" customFormat="1" ht="22.5" customHeight="1" spans="1:21">
      <c r="A50" s="57"/>
      <c r="B50" s="54"/>
      <c r="C50" s="54"/>
      <c r="D50" s="57"/>
      <c r="E50" s="57" t="s">
        <v>41</v>
      </c>
      <c r="F50" s="57">
        <v>12</v>
      </c>
      <c r="G50" s="57">
        <v>12</v>
      </c>
      <c r="H50" s="58">
        <f t="shared" si="1"/>
        <v>144</v>
      </c>
      <c r="I50" s="58" t="s">
        <v>24</v>
      </c>
      <c r="J50" s="57"/>
      <c r="K50" s="57"/>
      <c r="L50" s="58"/>
      <c r="M50" s="57" t="s">
        <v>108</v>
      </c>
      <c r="N50" s="57"/>
      <c r="O50" s="57"/>
      <c r="P50" s="57"/>
      <c r="Q50" s="57"/>
      <c r="R50" s="57"/>
      <c r="S50" s="57"/>
      <c r="T50" s="57"/>
      <c r="U50" s="57"/>
    </row>
    <row r="51" s="36" customFormat="1" ht="22.5" customHeight="1" spans="1:21">
      <c r="A51" s="57"/>
      <c r="B51" s="54"/>
      <c r="C51" s="54"/>
      <c r="D51" s="57"/>
      <c r="E51" s="36" t="s">
        <v>49</v>
      </c>
      <c r="F51" s="59">
        <v>12</v>
      </c>
      <c r="G51" s="59">
        <v>10</v>
      </c>
      <c r="H51" s="63">
        <f t="shared" si="1"/>
        <v>120</v>
      </c>
      <c r="I51" s="63" t="s">
        <v>24</v>
      </c>
      <c r="J51" s="57"/>
      <c r="K51" s="57"/>
      <c r="L51" s="58"/>
      <c r="M51" s="57" t="s">
        <v>109</v>
      </c>
      <c r="N51" s="57"/>
      <c r="O51" s="57"/>
      <c r="P51" s="57"/>
      <c r="Q51" s="59"/>
      <c r="R51" s="59"/>
      <c r="S51" s="59"/>
      <c r="T51" s="59"/>
      <c r="U51" s="59"/>
    </row>
    <row r="52" s="36" customFormat="1" ht="22.5" customHeight="1" spans="1:21">
      <c r="A52" s="59" t="s">
        <v>110</v>
      </c>
      <c r="B52" s="60">
        <v>46129</v>
      </c>
      <c r="C52" s="60"/>
      <c r="D52" s="59" t="s">
        <v>111</v>
      </c>
      <c r="E52" s="9" t="s">
        <v>41</v>
      </c>
      <c r="F52" s="57">
        <v>12</v>
      </c>
      <c r="G52" s="57">
        <v>10</v>
      </c>
      <c r="H52" s="58">
        <f t="shared" si="1"/>
        <v>120</v>
      </c>
      <c r="I52" s="58" t="s">
        <v>24</v>
      </c>
      <c r="J52" s="59"/>
      <c r="K52" s="59"/>
      <c r="L52" s="63"/>
      <c r="M52" s="59" t="s">
        <v>112</v>
      </c>
      <c r="N52" s="59"/>
      <c r="O52" s="59"/>
      <c r="P52" s="59"/>
      <c r="Q52" s="57"/>
      <c r="R52" s="57"/>
      <c r="S52" s="57"/>
      <c r="T52" s="57"/>
      <c r="U52" s="57"/>
    </row>
    <row r="53" s="9" customFormat="1" ht="22.5" customHeight="1" spans="1:21">
      <c r="A53" s="57" t="s">
        <v>113</v>
      </c>
      <c r="B53" s="54"/>
      <c r="C53" s="54"/>
      <c r="D53" s="57" t="s">
        <v>114</v>
      </c>
      <c r="E53" s="57" t="s">
        <v>115</v>
      </c>
      <c r="F53" s="57">
        <v>12</v>
      </c>
      <c r="G53" s="57">
        <v>100</v>
      </c>
      <c r="H53" s="58">
        <v>1200</v>
      </c>
      <c r="I53" s="58" t="s">
        <v>24</v>
      </c>
      <c r="J53" s="57"/>
      <c r="K53" s="57"/>
      <c r="L53" s="58"/>
      <c r="M53" s="57"/>
      <c r="N53" s="57"/>
      <c r="O53" s="57"/>
      <c r="P53" s="57"/>
      <c r="Q53" s="59"/>
      <c r="R53" s="59"/>
      <c r="S53" s="59"/>
      <c r="T53" s="59"/>
      <c r="U53" s="59"/>
    </row>
    <row r="54" s="12" customFormat="1" ht="22.5" customHeight="1" spans="1:21">
      <c r="A54" s="67" t="s">
        <v>116</v>
      </c>
      <c r="B54" s="89">
        <v>46091</v>
      </c>
      <c r="C54" s="89"/>
      <c r="D54" s="67" t="s">
        <v>106</v>
      </c>
      <c r="E54" s="91" t="s">
        <v>117</v>
      </c>
      <c r="F54" s="67">
        <v>12</v>
      </c>
      <c r="G54" s="67">
        <v>2</v>
      </c>
      <c r="H54" s="71">
        <v>24</v>
      </c>
      <c r="I54" s="71" t="s">
        <v>24</v>
      </c>
      <c r="J54" s="92"/>
      <c r="K54" s="92"/>
      <c r="L54" s="71"/>
      <c r="M54" s="70">
        <v>9888</v>
      </c>
      <c r="N54" s="70"/>
      <c r="O54" s="70"/>
      <c r="P54" s="70"/>
      <c r="Q54" s="67"/>
      <c r="R54" s="67"/>
      <c r="S54" s="70"/>
      <c r="T54" s="70"/>
      <c r="U54" s="70"/>
    </row>
    <row r="55" s="12" customFormat="1" ht="22.5" customHeight="1" spans="1:21">
      <c r="A55" s="67"/>
      <c r="B55" s="89"/>
      <c r="C55" s="89"/>
      <c r="D55" s="67"/>
      <c r="E55" s="67" t="s">
        <v>118</v>
      </c>
      <c r="F55" s="67">
        <v>12</v>
      </c>
      <c r="G55" s="67">
        <v>2</v>
      </c>
      <c r="H55" s="71">
        <v>24</v>
      </c>
      <c r="I55" s="71" t="s">
        <v>24</v>
      </c>
      <c r="J55" s="70"/>
      <c r="K55" s="70"/>
      <c r="L55" s="71"/>
      <c r="M55" s="70">
        <v>9888</v>
      </c>
      <c r="N55" s="70"/>
      <c r="O55" s="70"/>
      <c r="P55" s="70"/>
      <c r="Q55" s="84"/>
      <c r="R55" s="84"/>
      <c r="S55" s="83"/>
      <c r="T55" s="83"/>
      <c r="U55" s="83"/>
    </row>
    <row r="56" s="12" customFormat="1" ht="22.5" customHeight="1" spans="1:21">
      <c r="A56" s="84" t="s">
        <v>119</v>
      </c>
      <c r="B56" s="88">
        <v>46103</v>
      </c>
      <c r="C56" s="88"/>
      <c r="D56" s="84" t="s">
        <v>120</v>
      </c>
      <c r="E56" s="5" t="s">
        <v>44</v>
      </c>
      <c r="F56" s="84">
        <v>12</v>
      </c>
      <c r="G56" s="84">
        <v>5</v>
      </c>
      <c r="H56" s="81">
        <v>60</v>
      </c>
      <c r="I56" s="81" t="s">
        <v>24</v>
      </c>
      <c r="J56" s="83"/>
      <c r="K56" s="83"/>
      <c r="L56" s="81"/>
      <c r="M56" s="83"/>
      <c r="N56" s="83"/>
      <c r="O56" s="83" t="s">
        <v>112</v>
      </c>
      <c r="P56" s="83"/>
      <c r="Q56" s="84"/>
      <c r="R56" s="84"/>
      <c r="S56" s="83"/>
      <c r="T56" s="83"/>
      <c r="U56" s="83"/>
    </row>
    <row r="57" s="12" customFormat="1" ht="22.5" customHeight="1" spans="1:21">
      <c r="A57" s="84"/>
      <c r="B57" s="88">
        <v>46103</v>
      </c>
      <c r="C57" s="88"/>
      <c r="D57" s="84"/>
      <c r="E57" s="69" t="s">
        <v>41</v>
      </c>
      <c r="F57" s="84">
        <v>12</v>
      </c>
      <c r="G57" s="84">
        <v>5</v>
      </c>
      <c r="H57" s="81">
        <v>60</v>
      </c>
      <c r="I57" s="81" t="s">
        <v>24</v>
      </c>
      <c r="J57" s="83"/>
      <c r="K57" s="83"/>
      <c r="L57" s="81"/>
      <c r="M57" s="83"/>
      <c r="N57" s="83"/>
      <c r="O57" s="83" t="s">
        <v>112</v>
      </c>
      <c r="P57" s="83"/>
      <c r="Q57" s="84"/>
      <c r="R57" s="84"/>
      <c r="S57" s="83"/>
      <c r="T57" s="83"/>
      <c r="U57" s="83"/>
    </row>
    <row r="58" s="12" customFormat="1" ht="22.5" customHeight="1" spans="1:21">
      <c r="A58" s="84"/>
      <c r="B58" s="88">
        <v>46103</v>
      </c>
      <c r="C58" s="88"/>
      <c r="D58" s="84"/>
      <c r="E58" s="5" t="s">
        <v>49</v>
      </c>
      <c r="F58" s="84">
        <v>12</v>
      </c>
      <c r="G58" s="84">
        <v>5</v>
      </c>
      <c r="H58" s="81">
        <v>60</v>
      </c>
      <c r="I58" s="81" t="s">
        <v>24</v>
      </c>
      <c r="J58" s="83"/>
      <c r="K58" s="83"/>
      <c r="L58" s="81"/>
      <c r="M58" s="83"/>
      <c r="N58" s="83"/>
      <c r="O58" s="83" t="s">
        <v>112</v>
      </c>
      <c r="P58" s="83"/>
      <c r="Q58" s="67"/>
      <c r="R58" s="67"/>
      <c r="S58" s="70"/>
      <c r="T58" s="70"/>
      <c r="U58" s="70"/>
    </row>
    <row r="59" s="9" customFormat="1" ht="22.5" customHeight="1" spans="1:21">
      <c r="A59" s="59" t="s">
        <v>121</v>
      </c>
      <c r="B59" s="54">
        <v>46134</v>
      </c>
      <c r="C59" s="54"/>
      <c r="D59" s="59" t="s">
        <v>122</v>
      </c>
      <c r="E59" s="36" t="s">
        <v>44</v>
      </c>
      <c r="F59" s="59">
        <v>12</v>
      </c>
      <c r="G59" s="59">
        <v>10</v>
      </c>
      <c r="H59" s="63">
        <v>120</v>
      </c>
      <c r="I59" s="63" t="s">
        <v>24</v>
      </c>
      <c r="J59" s="59"/>
      <c r="K59" s="59"/>
      <c r="L59" s="63" t="s">
        <v>123</v>
      </c>
      <c r="M59" s="59"/>
      <c r="N59" s="59"/>
      <c r="O59" s="59"/>
      <c r="P59" s="59"/>
      <c r="Q59" s="59"/>
      <c r="R59" s="59"/>
      <c r="S59" s="59"/>
      <c r="T59" s="59"/>
      <c r="U59" s="59"/>
    </row>
    <row r="60" s="9" customFormat="1" ht="22.5" customHeight="1" spans="1:21">
      <c r="A60" s="59"/>
      <c r="B60" s="54">
        <v>46134</v>
      </c>
      <c r="C60" s="54"/>
      <c r="D60" s="59"/>
      <c r="E60" s="9" t="s">
        <v>41</v>
      </c>
      <c r="F60" s="59">
        <v>12</v>
      </c>
      <c r="G60" s="59">
        <v>29</v>
      </c>
      <c r="H60" s="63">
        <v>348</v>
      </c>
      <c r="I60" s="63" t="s">
        <v>24</v>
      </c>
      <c r="J60" s="59"/>
      <c r="K60" s="59"/>
      <c r="L60" s="63"/>
      <c r="M60" s="59"/>
      <c r="N60" s="59"/>
      <c r="O60" s="59"/>
      <c r="P60" s="59"/>
      <c r="Q60" s="59"/>
      <c r="R60" s="59"/>
      <c r="S60" s="59"/>
      <c r="T60" s="59"/>
      <c r="U60" s="59"/>
    </row>
    <row r="61" s="9" customFormat="1" ht="22.5" customHeight="1" spans="1:21">
      <c r="A61" s="59"/>
      <c r="B61" s="54">
        <v>46134</v>
      </c>
      <c r="C61" s="54"/>
      <c r="D61" s="59"/>
      <c r="E61" s="59" t="s">
        <v>124</v>
      </c>
      <c r="F61" s="59">
        <v>12</v>
      </c>
      <c r="G61" s="59">
        <v>12</v>
      </c>
      <c r="H61" s="63">
        <v>144</v>
      </c>
      <c r="I61" s="63" t="s">
        <v>24</v>
      </c>
      <c r="J61" s="59" t="str">
        <f>_xlfn.DISPIMG("ID_EB4149A27E654045BA78621746710715",1)</f>
        <v>=DISPIMG("ID_EB4149A27E654045BA78621746710715",1)</v>
      </c>
      <c r="K61" s="59"/>
      <c r="L61" s="63"/>
      <c r="M61" s="59"/>
      <c r="N61" s="59"/>
      <c r="O61" s="59"/>
      <c r="P61" s="59"/>
      <c r="Q61" s="57"/>
      <c r="R61" s="57"/>
      <c r="S61" s="57"/>
      <c r="T61" s="57"/>
      <c r="U61" s="57"/>
    </row>
    <row r="62" s="12" customFormat="1" ht="120" customHeight="1" spans="1:21">
      <c r="A62" s="93" t="s">
        <v>125</v>
      </c>
      <c r="B62" s="88">
        <v>46099</v>
      </c>
      <c r="C62" s="94"/>
      <c r="D62" s="93" t="s">
        <v>126</v>
      </c>
      <c r="E62" s="5" t="s">
        <v>49</v>
      </c>
      <c r="F62" s="84">
        <v>12</v>
      </c>
      <c r="G62" s="84">
        <v>15</v>
      </c>
      <c r="H62" s="81">
        <v>180</v>
      </c>
      <c r="I62" s="81" t="s">
        <v>24</v>
      </c>
      <c r="J62" s="83" t="str">
        <f>_xlfn.DISPIMG("ID_926E065C481D41078CA622250283B6D3",1)</f>
        <v>=DISPIMG("ID_926E065C481D41078CA622250283B6D3",1)</v>
      </c>
      <c r="K62" s="95"/>
      <c r="L62" s="96" t="s">
        <v>127</v>
      </c>
      <c r="M62" s="83"/>
      <c r="N62" s="83"/>
      <c r="O62" s="83"/>
      <c r="P62" s="83"/>
      <c r="Q62" s="67"/>
      <c r="R62" s="67"/>
      <c r="S62" s="70"/>
      <c r="T62" s="70"/>
      <c r="U62" s="70"/>
    </row>
    <row r="63" s="12" customFormat="1" ht="120" customHeight="1" spans="1:21">
      <c r="A63" s="93"/>
      <c r="B63" s="88">
        <v>46099</v>
      </c>
      <c r="C63" s="94"/>
      <c r="D63" s="93"/>
      <c r="E63" s="5" t="s">
        <v>49</v>
      </c>
      <c r="F63" s="67">
        <v>12</v>
      </c>
      <c r="G63" s="67">
        <v>50</v>
      </c>
      <c r="H63" s="81">
        <v>600</v>
      </c>
      <c r="I63" s="81" t="s">
        <v>24</v>
      </c>
      <c r="J63" s="83" t="str">
        <f>_xlfn.DISPIMG("ID_926E065C481D41078CA622250283B6D3",1)</f>
        <v>=DISPIMG("ID_926E065C481D41078CA622250283B6D3",1)</v>
      </c>
      <c r="K63" s="95"/>
      <c r="L63" s="96"/>
      <c r="M63" s="70"/>
      <c r="N63" s="70"/>
      <c r="O63" s="70"/>
      <c r="P63" s="70"/>
      <c r="Q63" s="67"/>
      <c r="R63" s="67"/>
      <c r="S63" s="70"/>
      <c r="T63" s="70"/>
      <c r="U63" s="70"/>
    </row>
    <row r="64" s="9" customFormat="1" ht="120" customHeight="1" spans="1:21">
      <c r="A64" s="59" t="s">
        <v>128</v>
      </c>
      <c r="B64" s="7"/>
      <c r="C64" s="7"/>
      <c r="D64" s="59" t="s">
        <v>106</v>
      </c>
      <c r="E64" s="36" t="s">
        <v>44</v>
      </c>
      <c r="F64" s="59">
        <v>12</v>
      </c>
      <c r="G64" s="59">
        <v>20</v>
      </c>
      <c r="H64" s="63">
        <v>240</v>
      </c>
      <c r="I64" s="63" t="s">
        <v>24</v>
      </c>
      <c r="J64" s="59" t="str">
        <f>_xlfn.DISPIMG("ID_65042C298B8D4E4BAFDD2224B674F5FD",1)</f>
        <v>=DISPIMG("ID_65042C298B8D4E4BAFDD2224B674F5FD",1)</v>
      </c>
      <c r="K64" s="59"/>
      <c r="L64" s="63" t="s">
        <v>129</v>
      </c>
      <c r="M64" s="59" t="str">
        <f>_xlfn.DISPIMG("ID_223C4AFC4B984F399A630EDF8D5DB692",1)</f>
        <v>=DISPIMG("ID_223C4AFC4B984F399A630EDF8D5DB692",1)</v>
      </c>
      <c r="N64" s="59"/>
      <c r="O64" s="59" t="str">
        <f>_xlfn.DISPIMG("ID_8B84BB01982346A082D0C6F22177242A",1)</f>
        <v>=DISPIMG("ID_8B84BB01982346A082D0C6F22177242A",1)</v>
      </c>
      <c r="P64" s="59"/>
      <c r="Q64" s="59"/>
      <c r="R64" s="59"/>
      <c r="S64" s="59"/>
      <c r="T64" s="59"/>
      <c r="U64" s="59"/>
    </row>
    <row r="65" s="9" customFormat="1" ht="120" customHeight="1" spans="1:21">
      <c r="A65" s="59"/>
      <c r="B65" s="7"/>
      <c r="C65" s="7"/>
      <c r="D65" s="59"/>
      <c r="E65" s="59" t="s">
        <v>41</v>
      </c>
      <c r="F65" s="59">
        <v>12</v>
      </c>
      <c r="G65" s="59">
        <v>50</v>
      </c>
      <c r="H65" s="63">
        <v>600</v>
      </c>
      <c r="I65" s="63" t="s">
        <v>24</v>
      </c>
      <c r="J65" s="59" t="str">
        <f>_xlfn.DISPIMG("ID_B98491661130470FA1C3147E6C790082",1)</f>
        <v>=DISPIMG("ID_B98491661130470FA1C3147E6C790082",1)</v>
      </c>
      <c r="K65" s="59"/>
      <c r="L65" s="63"/>
      <c r="M65" s="59" t="str">
        <f>_xlfn.DISPIMG("ID_C46FFC699285470DA925D12276896D90",1)</f>
        <v>=DISPIMG("ID_C46FFC699285470DA925D12276896D90",1)</v>
      </c>
      <c r="N65" s="59"/>
      <c r="O65" s="59" t="str">
        <f>_xlfn.DISPIMG("ID_A59CF3AEC699457993BCF87542A493EE",1)</f>
        <v>=DISPIMG("ID_A59CF3AEC699457993BCF87542A493EE",1)</v>
      </c>
      <c r="P65" s="59"/>
      <c r="Q65" s="59"/>
      <c r="R65" s="59"/>
      <c r="S65" s="57"/>
      <c r="T65" s="57"/>
      <c r="U65" s="57"/>
    </row>
    <row r="66" s="12" customFormat="1" ht="120" customHeight="1" spans="1:21">
      <c r="A66" s="84" t="s">
        <v>130</v>
      </c>
      <c r="B66" s="89">
        <v>46104</v>
      </c>
      <c r="C66" s="89"/>
      <c r="D66" s="84" t="s">
        <v>131</v>
      </c>
      <c r="E66" s="84" t="s">
        <v>132</v>
      </c>
      <c r="F66" s="84">
        <v>12</v>
      </c>
      <c r="G66" s="84">
        <v>50</v>
      </c>
      <c r="H66" s="81">
        <v>600</v>
      </c>
      <c r="I66" s="81" t="s">
        <v>24</v>
      </c>
      <c r="J66" s="83" t="str">
        <f>_xlfn.DISPIMG("ID_2F9F93DFFFD8408982562AEA4EDB5CC4",1)</f>
        <v>=DISPIMG("ID_2F9F93DFFFD8408982562AEA4EDB5CC4",1)</v>
      </c>
      <c r="K66" s="83"/>
      <c r="L66" s="84" t="s">
        <v>133</v>
      </c>
      <c r="M66" s="83" t="str">
        <f>_xlfn.DISPIMG("ID_675EB021D9E741C29A69F7C13AC0AA97",1)</f>
        <v>=DISPIMG("ID_675EB021D9E741C29A69F7C13AC0AA97",1)</v>
      </c>
      <c r="N66" s="83"/>
      <c r="O66" s="83" t="str">
        <f>_xlfn.DISPIMG("ID_122D983116F04004B5B4B58D4FF895DE",1)</f>
        <v>=DISPIMG("ID_122D983116F04004B5B4B58D4FF895DE",1)</v>
      </c>
      <c r="P66" s="83"/>
      <c r="Q66" s="84"/>
      <c r="R66" s="84"/>
      <c r="S66" s="83"/>
      <c r="T66" s="83"/>
      <c r="U66" s="83"/>
    </row>
    <row r="67" s="12" customFormat="1" ht="120" customHeight="1" spans="1:21">
      <c r="A67" s="84"/>
      <c r="B67" s="89">
        <v>46101</v>
      </c>
      <c r="C67" s="89"/>
      <c r="D67" s="84"/>
      <c r="E67" s="84" t="s">
        <v>134</v>
      </c>
      <c r="F67" s="84">
        <v>12</v>
      </c>
      <c r="G67" s="84">
        <v>50</v>
      </c>
      <c r="H67" s="81">
        <v>600</v>
      </c>
      <c r="I67" s="81" t="s">
        <v>24</v>
      </c>
      <c r="J67" s="83" t="str">
        <f>_xlfn.DISPIMG("ID_21E6C970D402480A817DBC6925762403",1)</f>
        <v>=DISPIMG("ID_21E6C970D402480A817DBC6925762403",1)</v>
      </c>
      <c r="K67" s="83"/>
      <c r="L67" s="83"/>
      <c r="M67" s="83" t="str">
        <f>_xlfn.DISPIMG("ID_FB71919A8B7441C0962D12682C9D8F6F",1)</f>
        <v>=DISPIMG("ID_FB71919A8B7441C0962D12682C9D8F6F",1)</v>
      </c>
      <c r="N67" s="83"/>
      <c r="O67" s="83" t="str">
        <f>_xlfn.DISPIMG("ID_C34939C3150943F6883E82B6EA370282",1)</f>
        <v>=DISPIMG("ID_C34939C3150943F6883E82B6EA370282",1)</v>
      </c>
      <c r="P67" s="83"/>
      <c r="Q67" s="84"/>
      <c r="R67" s="84"/>
      <c r="S67" s="70"/>
      <c r="T67" s="70"/>
      <c r="U67" s="70"/>
    </row>
    <row r="68" s="9" customFormat="1" ht="120" customHeight="1" spans="1:21">
      <c r="A68" s="59" t="s">
        <v>135</v>
      </c>
      <c r="B68" s="60"/>
      <c r="C68" s="60"/>
      <c r="D68" s="59" t="s">
        <v>136</v>
      </c>
      <c r="E68" s="9" t="s">
        <v>41</v>
      </c>
      <c r="F68" s="59">
        <v>12</v>
      </c>
      <c r="G68" s="59">
        <v>100</v>
      </c>
      <c r="H68" s="63">
        <v>1200</v>
      </c>
      <c r="I68" s="63" t="s">
        <v>24</v>
      </c>
      <c r="J68" s="59" t="str">
        <f>_xlfn.DISPIMG("ID_7C1189AFFB924881830B198062D1FC93",1)</f>
        <v>=DISPIMG("ID_7C1189AFFB924881830B198062D1FC93",1)</v>
      </c>
      <c r="K68" s="59"/>
      <c r="L68" s="59" t="s">
        <v>137</v>
      </c>
      <c r="M68" s="59" t="str">
        <f>_xlfn.DISPIMG("ID_E3C33BF1A3A3488CB8E98A12E7B4E61E",1)</f>
        <v>=DISPIMG("ID_E3C33BF1A3A3488CB8E98A12E7B4E61E",1)</v>
      </c>
      <c r="N68" s="59"/>
      <c r="O68" s="59"/>
      <c r="P68" s="59"/>
      <c r="Q68" s="59"/>
      <c r="R68" s="59"/>
      <c r="S68" s="57"/>
      <c r="T68" s="57"/>
      <c r="U68" s="57"/>
    </row>
    <row r="69" s="12" customFormat="1" ht="120" customHeight="1" spans="1:21">
      <c r="A69" s="97" t="s">
        <v>138</v>
      </c>
      <c r="B69" s="98">
        <v>46120</v>
      </c>
      <c r="C69" s="98"/>
      <c r="D69" s="97" t="s">
        <v>139</v>
      </c>
      <c r="E69" s="69" t="s">
        <v>41</v>
      </c>
      <c r="F69" s="84">
        <v>12</v>
      </c>
      <c r="G69" s="84">
        <v>100</v>
      </c>
      <c r="H69" s="81">
        <v>1200</v>
      </c>
      <c r="I69" s="81" t="s">
        <v>24</v>
      </c>
      <c r="J69" s="83" t="str">
        <f>_xlfn.DISPIMG("ID_70566DFFAD224247AD60C0E3F91C0661",1)</f>
        <v>=DISPIMG("ID_70566DFFAD224247AD60C0E3F91C0661",1)</v>
      </c>
      <c r="K69" s="83"/>
      <c r="L69" s="84" t="s">
        <v>140</v>
      </c>
      <c r="M69" s="83"/>
      <c r="N69" s="83"/>
      <c r="O69" s="83"/>
      <c r="P69" s="83" t="str">
        <f>_xlfn.DISPIMG("ID_41513634D7414199AABB46CC7A36D7BE",1)</f>
        <v>=DISPIMG("ID_41513634D7414199AABB46CC7A36D7BE",1)</v>
      </c>
      <c r="Q69" s="84"/>
      <c r="R69" s="84"/>
      <c r="S69" s="83"/>
      <c r="T69" s="83"/>
      <c r="U69" s="83"/>
    </row>
    <row r="70" s="37" customFormat="1" ht="120" customHeight="1" spans="1:21">
      <c r="A70" s="97"/>
      <c r="B70" s="98">
        <v>46120</v>
      </c>
      <c r="C70" s="98"/>
      <c r="D70" s="97"/>
      <c r="E70" s="5" t="s">
        <v>49</v>
      </c>
      <c r="F70" s="84">
        <v>12</v>
      </c>
      <c r="G70" s="84">
        <v>100</v>
      </c>
      <c r="H70" s="81">
        <v>1200</v>
      </c>
      <c r="I70" s="81" t="s">
        <v>24</v>
      </c>
      <c r="J70" s="83" t="str">
        <f>_xlfn.DISPIMG("ID_D0DFB73E289F4D66A25AD21163CAEBBF",1)</f>
        <v>=DISPIMG("ID_D0DFB73E289F4D66A25AD21163CAEBBF",1)</v>
      </c>
      <c r="K70" s="83"/>
      <c r="L70" s="84" t="s">
        <v>140</v>
      </c>
      <c r="M70" s="83"/>
      <c r="N70" s="83"/>
      <c r="O70" s="83"/>
      <c r="P70" s="83" t="str">
        <f>_xlfn.DISPIMG("ID_E0777F73D08140719E490056671E2259",1)</f>
        <v>=DISPIMG("ID_E0777F73D08140719E490056671E2259",1)</v>
      </c>
      <c r="Q70" s="84"/>
      <c r="R70" s="84"/>
      <c r="S70" s="70"/>
      <c r="T70" s="70"/>
      <c r="U70" s="70"/>
    </row>
    <row r="71" s="12" customFormat="1" ht="120" customHeight="1" spans="1:21">
      <c r="A71" s="67" t="s">
        <v>141</v>
      </c>
      <c r="B71" s="89">
        <v>46100</v>
      </c>
      <c r="C71" s="89"/>
      <c r="D71" s="67" t="s">
        <v>142</v>
      </c>
      <c r="E71" s="5" t="s">
        <v>49</v>
      </c>
      <c r="F71" s="67">
        <v>12</v>
      </c>
      <c r="G71" s="67">
        <v>25</v>
      </c>
      <c r="H71" s="71">
        <v>300</v>
      </c>
      <c r="I71" s="71" t="s">
        <v>24</v>
      </c>
      <c r="J71" s="70" t="str">
        <f>_xlfn.DISPIMG("ID_D0DFB73E289F4D66A25AD21163CAEBBF",1)</f>
        <v>=DISPIMG("ID_D0DFB73E289F4D66A25AD21163CAEBBF",1)</v>
      </c>
      <c r="K71" s="70"/>
      <c r="L71" s="67" t="s">
        <v>143</v>
      </c>
      <c r="M71" s="70" t="str">
        <f>_xlfn.DISPIMG("ID_1B11D605E1074404842DD28DB230E183",1)</f>
        <v>=DISPIMG("ID_1B11D605E1074404842DD28DB230E183",1)</v>
      </c>
      <c r="N71" s="70"/>
      <c r="O71" s="70"/>
      <c r="P71" s="70"/>
      <c r="Q71" s="67"/>
      <c r="R71" s="67"/>
      <c r="S71" s="83"/>
      <c r="T71" s="83"/>
      <c r="U71" s="83"/>
    </row>
    <row r="72" s="12" customFormat="1" ht="120" customHeight="1" spans="1:21">
      <c r="A72" s="84" t="s">
        <v>144</v>
      </c>
      <c r="B72" s="88">
        <v>46095</v>
      </c>
      <c r="C72" s="88"/>
      <c r="D72" s="84" t="s">
        <v>145</v>
      </c>
      <c r="E72" s="5" t="s">
        <v>49</v>
      </c>
      <c r="F72" s="84">
        <v>12</v>
      </c>
      <c r="G72" s="84">
        <v>10</v>
      </c>
      <c r="H72" s="81">
        <v>120</v>
      </c>
      <c r="I72" s="81" t="s">
        <v>24</v>
      </c>
      <c r="J72" s="83" t="str">
        <f>_xlfn.DISPIMG("ID_95CA65412FE740E384009ACD4035379C",1)</f>
        <v>=DISPIMG("ID_95CA65412FE740E384009ACD4035379C",1)</v>
      </c>
      <c r="K72" s="83"/>
      <c r="L72" s="84" t="s">
        <v>146</v>
      </c>
      <c r="M72" s="83" t="str">
        <f>_xlfn.DISPIMG("ID_52E75EC82945463492497D195E6A4FEF",1)</f>
        <v>=DISPIMG("ID_52E75EC82945463492497D195E6A4FEF",1)</v>
      </c>
      <c r="N72" s="83"/>
      <c r="O72" s="83" t="str">
        <f>_xlfn.DISPIMG("ID_82D2DDEEBE814AD3916925D50C58F092",1)</f>
        <v>=DISPIMG("ID_82D2DDEEBE814AD3916925D50C58F092",1)</v>
      </c>
      <c r="P72" s="83"/>
      <c r="Q72" s="84"/>
      <c r="R72" s="84"/>
      <c r="S72" s="70"/>
      <c r="T72" s="70"/>
      <c r="U72" s="70"/>
    </row>
    <row r="73" s="12" customFormat="1" ht="120" customHeight="1" spans="1:21">
      <c r="A73" s="67" t="s">
        <v>147</v>
      </c>
      <c r="B73" s="90">
        <v>46102</v>
      </c>
      <c r="C73" s="90"/>
      <c r="D73" s="67" t="s">
        <v>148</v>
      </c>
      <c r="E73" s="67" t="s">
        <v>149</v>
      </c>
      <c r="F73" s="67">
        <v>12</v>
      </c>
      <c r="G73" s="67">
        <v>5</v>
      </c>
      <c r="H73" s="71">
        <v>60</v>
      </c>
      <c r="I73" s="71" t="s">
        <v>24</v>
      </c>
      <c r="J73" s="70" t="str">
        <f>_xlfn.DISPIMG("ID_DF5E391C9D554B2B898B9824FAB8FF17",1)</f>
        <v>=DISPIMG("ID_DF5E391C9D554B2B898B9824FAB8FF17",1)</v>
      </c>
      <c r="K73" s="70"/>
      <c r="L73" s="67"/>
      <c r="M73" s="70"/>
      <c r="N73" s="70"/>
      <c r="O73" s="70"/>
      <c r="P73" s="70"/>
      <c r="Q73" s="67"/>
      <c r="R73" s="67"/>
      <c r="S73" s="70"/>
      <c r="T73" s="70"/>
      <c r="U73" s="70"/>
    </row>
    <row r="74" s="37" customFormat="1" ht="120" customHeight="1" spans="1:21">
      <c r="A74" s="67"/>
      <c r="B74" s="90">
        <v>46102</v>
      </c>
      <c r="C74" s="90"/>
      <c r="D74" s="67"/>
      <c r="E74" s="84" t="s">
        <v>89</v>
      </c>
      <c r="F74" s="67">
        <v>12</v>
      </c>
      <c r="G74" s="67">
        <v>10</v>
      </c>
      <c r="H74" s="71">
        <v>120</v>
      </c>
      <c r="I74" s="71" t="s">
        <v>24</v>
      </c>
      <c r="J74" s="70" t="str">
        <f>_xlfn.DISPIMG("ID_3AC66683BFF4452F8CC6F8021F983250",1)</f>
        <v>=DISPIMG("ID_3AC66683BFF4452F8CC6F8021F983250",1)</v>
      </c>
      <c r="K74" s="70"/>
      <c r="L74" s="67" t="s">
        <v>150</v>
      </c>
      <c r="M74" s="70"/>
      <c r="N74" s="70"/>
      <c r="O74" s="70"/>
      <c r="P74" s="70"/>
      <c r="Q74" s="67"/>
      <c r="R74" s="67"/>
      <c r="S74" s="83"/>
      <c r="T74" s="83"/>
      <c r="U74" s="83"/>
    </row>
    <row r="75" s="38" customFormat="1" ht="120" customHeight="1" spans="1:21">
      <c r="A75" s="57" t="s">
        <v>151</v>
      </c>
      <c r="B75" s="61">
        <v>46129</v>
      </c>
      <c r="C75" s="61"/>
      <c r="D75" s="57" t="s">
        <v>152</v>
      </c>
      <c r="E75" s="9" t="s">
        <v>41</v>
      </c>
      <c r="F75" s="57">
        <v>12</v>
      </c>
      <c r="G75" s="57">
        <v>150</v>
      </c>
      <c r="H75" s="58">
        <v>1800</v>
      </c>
      <c r="I75" s="58" t="s">
        <v>24</v>
      </c>
      <c r="J75" s="57" t="str">
        <f>_xlfn.DISPIMG("ID_2849C55398FB4B64A40DDFACACC43DD2",1)</f>
        <v>=DISPIMG("ID_2849C55398FB4B64A40DDFACACC43DD2",1)</v>
      </c>
      <c r="K75" s="64">
        <v>46129</v>
      </c>
      <c r="L75" s="57" t="s">
        <v>153</v>
      </c>
      <c r="M75" s="57" t="str">
        <f>_xlfn.DISPIMG("ID_E628039F0E1E44F996A6AF5991C120EB",1)</f>
        <v>=DISPIMG("ID_E628039F0E1E44F996A6AF5991C120EB",1)</v>
      </c>
      <c r="N75" s="57"/>
      <c r="O75" s="57" t="s">
        <v>154</v>
      </c>
      <c r="P75" s="57"/>
      <c r="Q75" s="57"/>
      <c r="R75" s="57"/>
      <c r="S75" s="57"/>
      <c r="T75" s="57"/>
      <c r="U75" s="57"/>
    </row>
    <row r="76" s="9" customFormat="1" ht="120" customHeight="1" spans="1:21">
      <c r="A76" s="57"/>
      <c r="B76" s="61">
        <v>46129</v>
      </c>
      <c r="C76" s="61"/>
      <c r="D76" s="57"/>
      <c r="E76" s="36" t="s">
        <v>44</v>
      </c>
      <c r="F76" s="57">
        <v>12</v>
      </c>
      <c r="G76" s="57">
        <v>100</v>
      </c>
      <c r="H76" s="58">
        <v>1200</v>
      </c>
      <c r="I76" s="58" t="s">
        <v>24</v>
      </c>
      <c r="J76" s="57" t="str">
        <f>_xlfn.DISPIMG("ID_3ADB576B693147AB912677C140702844",1)</f>
        <v>=DISPIMG("ID_3ADB576B693147AB912677C140702844",1)</v>
      </c>
      <c r="K76" s="64">
        <v>46129</v>
      </c>
      <c r="L76" s="57" t="s">
        <v>153</v>
      </c>
      <c r="M76" s="57" t="str">
        <f>_xlfn.DISPIMG("ID_2D167DBB84124888A3C5530CA2C30955",1)</f>
        <v>=DISPIMG("ID_2D167DBB84124888A3C5530CA2C30955",1)</v>
      </c>
      <c r="N76" s="57"/>
      <c r="O76" s="57" t="s">
        <v>155</v>
      </c>
      <c r="P76" s="57"/>
      <c r="Q76" s="57"/>
      <c r="R76" s="57"/>
      <c r="S76" s="59"/>
      <c r="T76" s="59"/>
      <c r="U76" s="59"/>
    </row>
    <row r="77" s="9" customFormat="1" ht="120" customHeight="1" spans="1:21">
      <c r="A77" s="59" t="s">
        <v>156</v>
      </c>
      <c r="B77" s="61">
        <v>46148</v>
      </c>
      <c r="C77" s="61"/>
      <c r="D77" s="59" t="s">
        <v>157</v>
      </c>
      <c r="E77" s="9" t="s">
        <v>41</v>
      </c>
      <c r="F77" s="59">
        <v>12</v>
      </c>
      <c r="G77" s="59">
        <v>40</v>
      </c>
      <c r="H77" s="63">
        <v>480</v>
      </c>
      <c r="I77" s="63" t="s">
        <v>24</v>
      </c>
      <c r="J77" s="59" t="str">
        <f t="shared" ref="J77:J84" si="2">_xlfn.DISPIMG("ID_6EB9619A6A704B158E314B2D6BEC6050",1)</f>
        <v>=DISPIMG("ID_6EB9619A6A704B158E314B2D6BEC6050",1)</v>
      </c>
      <c r="K77" s="59"/>
      <c r="L77" s="59" t="s">
        <v>158</v>
      </c>
      <c r="M77" s="59"/>
      <c r="N77" s="59"/>
      <c r="O77" s="59"/>
      <c r="P77" s="59"/>
      <c r="Q77" s="59"/>
      <c r="R77" s="59"/>
      <c r="S77" s="59"/>
      <c r="T77" s="59"/>
      <c r="U77" s="59"/>
    </row>
    <row r="78" s="9" customFormat="1" ht="120" customHeight="1" spans="1:21">
      <c r="A78" s="59"/>
      <c r="B78" s="61">
        <v>46148</v>
      </c>
      <c r="C78" s="61"/>
      <c r="D78" s="59"/>
      <c r="E78" s="59" t="s">
        <v>159</v>
      </c>
      <c r="F78" s="59">
        <v>12</v>
      </c>
      <c r="G78" s="59">
        <v>20</v>
      </c>
      <c r="H78" s="63">
        <v>240</v>
      </c>
      <c r="I78" s="63" t="s">
        <v>24</v>
      </c>
      <c r="J78" s="59" t="str">
        <f>_xlfn.DISPIMG("ID_4EC03F2B6C6C42D8B03691D1633BADD5",1)</f>
        <v>=DISPIMG("ID_4EC03F2B6C6C42D8B03691D1633BADD5",1)</v>
      </c>
      <c r="K78" s="59"/>
      <c r="L78" s="59" t="s">
        <v>158</v>
      </c>
      <c r="M78" s="59"/>
      <c r="N78" s="59"/>
      <c r="O78" s="59"/>
      <c r="P78" s="59"/>
      <c r="Q78" s="59"/>
      <c r="R78" s="59"/>
      <c r="S78" s="59"/>
      <c r="T78" s="59"/>
      <c r="U78" s="59"/>
    </row>
    <row r="79" s="9" customFormat="1" ht="92" customHeight="1" spans="1:21">
      <c r="A79" s="59"/>
      <c r="B79" s="61">
        <v>46148</v>
      </c>
      <c r="C79" s="61"/>
      <c r="D79" s="59"/>
      <c r="E79" s="59" t="s">
        <v>160</v>
      </c>
      <c r="F79" s="59">
        <v>12</v>
      </c>
      <c r="G79" s="59">
        <v>10</v>
      </c>
      <c r="H79" s="63">
        <v>120</v>
      </c>
      <c r="I79" s="63" t="s">
        <v>24</v>
      </c>
      <c r="J79" s="59" t="str">
        <f>_xlfn.DISPIMG("ID_E04D6261E8774D77BC1E42369E53477E",1)</f>
        <v>=DISPIMG("ID_E04D6261E8774D77BC1E42369E53477E",1)</v>
      </c>
      <c r="K79" s="59"/>
      <c r="L79" s="59" t="s">
        <v>158</v>
      </c>
      <c r="M79" s="59"/>
      <c r="N79" s="59"/>
      <c r="O79" s="59"/>
      <c r="P79" s="59"/>
      <c r="Q79" s="59"/>
      <c r="R79" s="59"/>
      <c r="S79" s="57"/>
      <c r="T79" s="57"/>
      <c r="U79" s="57"/>
    </row>
    <row r="80" s="9" customFormat="1" ht="120" customHeight="1" spans="1:21">
      <c r="A80" s="57" t="s">
        <v>161</v>
      </c>
      <c r="B80" s="54">
        <v>46101</v>
      </c>
      <c r="C80" s="54"/>
      <c r="D80" s="57" t="s">
        <v>106</v>
      </c>
      <c r="E80" s="57" t="s">
        <v>162</v>
      </c>
      <c r="F80" s="57">
        <v>12</v>
      </c>
      <c r="G80" s="57">
        <v>20</v>
      </c>
      <c r="H80" s="58">
        <v>240</v>
      </c>
      <c r="I80" s="58" t="s">
        <v>24</v>
      </c>
      <c r="J80" s="57"/>
      <c r="K80" s="57"/>
      <c r="L80" s="57" t="s">
        <v>163</v>
      </c>
      <c r="M80" s="57"/>
      <c r="N80" s="57"/>
      <c r="O80" s="57"/>
      <c r="P80" s="57"/>
      <c r="Q80" s="57"/>
      <c r="R80" s="57"/>
      <c r="S80" s="59"/>
      <c r="T80" s="59"/>
      <c r="U80" s="59"/>
    </row>
    <row r="81" s="9" customFormat="1" ht="78" customHeight="1" spans="1:21">
      <c r="A81" s="59" t="s">
        <v>164</v>
      </c>
      <c r="B81" s="7">
        <v>46134</v>
      </c>
      <c r="C81" s="7"/>
      <c r="D81" s="59" t="s">
        <v>106</v>
      </c>
      <c r="E81" s="59" t="s">
        <v>41</v>
      </c>
      <c r="F81" s="59">
        <v>12</v>
      </c>
      <c r="G81" s="59">
        <v>50</v>
      </c>
      <c r="H81" s="63">
        <v>1200</v>
      </c>
      <c r="I81" s="63" t="s">
        <v>24</v>
      </c>
      <c r="J81" s="59" t="str">
        <f t="shared" si="2"/>
        <v>=DISPIMG("ID_6EB9619A6A704B158E314B2D6BEC6050",1)</v>
      </c>
      <c r="K81" s="87">
        <v>46134</v>
      </c>
      <c r="L81" s="59" t="s">
        <v>165</v>
      </c>
      <c r="M81" s="59" t="str">
        <f>_xlfn.DISPIMG("ID_F93CDBBF707442938ADD74997B5E27E8",1)</f>
        <v>=DISPIMG("ID_F93CDBBF707442938ADD74997B5E27E8",1)</v>
      </c>
      <c r="N81" s="59"/>
      <c r="O81" s="59"/>
      <c r="P81" s="59" t="str">
        <f>_xlfn.DISPIMG("ID_266E58551CE94AE39654B17EDFD0F18A",1)</f>
        <v>=DISPIMG("ID_266E58551CE94AE39654B17EDFD0F18A",1)</v>
      </c>
      <c r="Q81" s="59"/>
      <c r="R81" s="59"/>
      <c r="S81" s="57"/>
      <c r="T81" s="57"/>
      <c r="U81" s="57"/>
    </row>
    <row r="82" s="9" customFormat="1" ht="99" customHeight="1" spans="1:21">
      <c r="A82" s="59" t="s">
        <v>164</v>
      </c>
      <c r="B82" s="7">
        <v>46127</v>
      </c>
      <c r="C82" s="7"/>
      <c r="D82" s="59" t="s">
        <v>106</v>
      </c>
      <c r="E82" s="59" t="s">
        <v>41</v>
      </c>
      <c r="F82" s="59">
        <v>12</v>
      </c>
      <c r="G82" s="59">
        <v>50</v>
      </c>
      <c r="H82" s="63">
        <v>1200</v>
      </c>
      <c r="I82" s="63" t="s">
        <v>24</v>
      </c>
      <c r="J82" s="59" t="str">
        <f t="shared" si="2"/>
        <v>=DISPIMG("ID_6EB9619A6A704B158E314B2D6BEC6050",1)</v>
      </c>
      <c r="K82" s="87">
        <v>46134</v>
      </c>
      <c r="L82" s="57"/>
      <c r="M82" s="57"/>
      <c r="N82" s="57"/>
      <c r="O82" s="57"/>
      <c r="P82" s="57"/>
      <c r="Q82" s="57"/>
      <c r="R82" s="57"/>
      <c r="S82" s="59"/>
      <c r="T82" s="59"/>
      <c r="U82" s="59"/>
    </row>
    <row r="83" s="9" customFormat="1" ht="99" customHeight="1" spans="1:21">
      <c r="A83" s="99" t="s">
        <v>166</v>
      </c>
      <c r="B83" s="7">
        <v>46101</v>
      </c>
      <c r="C83" s="7"/>
      <c r="D83" s="99" t="s">
        <v>106</v>
      </c>
      <c r="E83" s="57" t="s">
        <v>41</v>
      </c>
      <c r="F83" s="57">
        <v>12</v>
      </c>
      <c r="G83" s="57">
        <v>10</v>
      </c>
      <c r="H83" s="58">
        <v>120</v>
      </c>
      <c r="I83" s="58" t="s">
        <v>24</v>
      </c>
      <c r="J83" s="59" t="str">
        <f t="shared" si="2"/>
        <v>=DISPIMG("ID_6EB9619A6A704B158E314B2D6BEC6050",1)</v>
      </c>
      <c r="K83" s="59"/>
      <c r="L83" s="57" t="s">
        <v>167</v>
      </c>
      <c r="M83" s="57"/>
      <c r="N83" s="57"/>
      <c r="O83" s="57"/>
      <c r="P83" s="57"/>
      <c r="Q83" s="57"/>
      <c r="R83" s="57"/>
      <c r="S83" s="59"/>
      <c r="T83" s="59"/>
      <c r="U83" s="59"/>
    </row>
    <row r="84" s="9" customFormat="1" ht="401.2" spans="1:21">
      <c r="A84" s="99"/>
      <c r="B84" s="7">
        <v>46101</v>
      </c>
      <c r="C84" s="7"/>
      <c r="D84" s="99"/>
      <c r="E84" s="57" t="s">
        <v>41</v>
      </c>
      <c r="F84" s="57">
        <v>12</v>
      </c>
      <c r="G84" s="57">
        <v>10</v>
      </c>
      <c r="H84" s="58">
        <v>120</v>
      </c>
      <c r="I84" s="63" t="s">
        <v>24</v>
      </c>
      <c r="J84" s="59" t="str">
        <f t="shared" si="2"/>
        <v>=DISPIMG("ID_6EB9619A6A704B158E314B2D6BEC6050",1)</v>
      </c>
      <c r="K84" s="59"/>
      <c r="L84" s="59" t="s">
        <v>168</v>
      </c>
      <c r="M84" s="59" t="str">
        <f>_xlfn.DISPIMG("ID_E9BCA4784B16432095D1D38D1B0B8EE0",1)</f>
        <v>=DISPIMG("ID_E9BCA4784B16432095D1D38D1B0B8EE0",1)</v>
      </c>
      <c r="N84" s="59"/>
      <c r="O84" s="59"/>
      <c r="P84" s="59"/>
      <c r="Q84" s="59"/>
      <c r="R84" s="59"/>
    </row>
    <row r="85" s="12" customFormat="1" ht="67.5" spans="1:21">
      <c r="A85" s="100" t="s">
        <v>169</v>
      </c>
      <c r="B85" s="101">
        <v>46099</v>
      </c>
      <c r="C85" s="101"/>
      <c r="D85" s="102" t="s">
        <v>170</v>
      </c>
      <c r="E85" s="5" t="s">
        <v>49</v>
      </c>
      <c r="F85" s="69">
        <v>12</v>
      </c>
      <c r="G85" s="69">
        <v>30</v>
      </c>
      <c r="H85" s="81">
        <v>360</v>
      </c>
      <c r="I85" s="71" t="s">
        <v>24</v>
      </c>
      <c r="J85" s="12" t="str">
        <f>_xlfn.DISPIMG("ID_81C1A7DD7E5846918017CA7F78FE1ADF",1)</f>
        <v>=DISPIMG("ID_81C1A7DD7E5846918017CA7F78FE1ADF",1)</v>
      </c>
      <c r="L85" s="103" t="s">
        <v>171</v>
      </c>
      <c r="M85" s="69"/>
      <c r="Q85" s="8"/>
      <c r="R85" s="8"/>
      <c r="S85" s="8"/>
    </row>
    <row r="86" s="9" customFormat="1" ht="194.2" spans="1:21">
      <c r="A86" s="6" t="s">
        <v>172</v>
      </c>
      <c r="B86" s="7">
        <v>46123</v>
      </c>
      <c r="C86" s="7"/>
      <c r="D86" s="104" t="s">
        <v>173</v>
      </c>
      <c r="E86" s="9" t="s">
        <v>41</v>
      </c>
      <c r="F86" s="9">
        <v>12</v>
      </c>
      <c r="G86" s="9">
        <v>50</v>
      </c>
      <c r="H86" s="58">
        <v>600</v>
      </c>
      <c r="I86" s="63" t="s">
        <v>24</v>
      </c>
      <c r="J86" s="9" t="str">
        <f>_xlfn.DISPIMG("ID_EB35C40256A54D369F834C53E080F5D1",1)</f>
        <v>=DISPIMG("ID_EB35C40256A54D369F834C53E080F5D1",1)</v>
      </c>
      <c r="L86" s="8" t="s">
        <v>174</v>
      </c>
      <c r="M86" s="9" t="str">
        <f>_xlfn.DISPIMG("ID_9ED548C739EA4BF496B6B5B6BB3FAE16",1)</f>
        <v>=DISPIMG("ID_9ED548C739EA4BF496B6B5B6BB3FAE16",1)</v>
      </c>
    </row>
    <row r="87" s="9" customFormat="1" ht="180" spans="1:21">
      <c r="A87" s="6"/>
      <c r="B87" s="7">
        <v>46123</v>
      </c>
      <c r="C87" s="7"/>
      <c r="D87" s="104"/>
      <c r="E87" s="57" t="s">
        <v>89</v>
      </c>
      <c r="F87" s="9">
        <v>12</v>
      </c>
      <c r="G87" s="9">
        <v>200</v>
      </c>
      <c r="H87" s="58">
        <v>2400</v>
      </c>
      <c r="I87" s="63" t="s">
        <v>24</v>
      </c>
      <c r="J87" s="9" t="str">
        <f>_xlfn.DISPIMG("ID_199697370CD24124A39F7F56C508C26E",1)</f>
        <v>=DISPIMG("ID_199697370CD24124A39F7F56C508C26E",1)</v>
      </c>
      <c r="L87" s="8" t="s">
        <v>174</v>
      </c>
      <c r="M87" s="9" t="str">
        <f>_xlfn.DISPIMG("ID_6949C98362A247CC87C5B5F6D1B6C98C",1)</f>
        <v>=DISPIMG("ID_6949C98362A247CC87C5B5F6D1B6C98C",1)</v>
      </c>
    </row>
    <row r="88" s="9" customFormat="1" ht="128.95" spans="1:21">
      <c r="A88" s="6" t="s">
        <v>175</v>
      </c>
      <c r="B88" s="7">
        <v>46125</v>
      </c>
      <c r="C88" s="7"/>
      <c r="D88" s="8" t="s">
        <v>176</v>
      </c>
      <c r="E88" s="9" t="s">
        <v>41</v>
      </c>
      <c r="F88" s="9">
        <v>12</v>
      </c>
      <c r="G88" s="9">
        <v>150</v>
      </c>
      <c r="H88" s="58">
        <v>1800</v>
      </c>
      <c r="I88" s="63" t="s">
        <v>24</v>
      </c>
      <c r="J88" s="9" t="s">
        <v>177</v>
      </c>
      <c r="K88" s="105"/>
      <c r="L88" s="8" t="s">
        <v>178</v>
      </c>
      <c r="M88" s="9" t="str">
        <f>_xlfn.DISPIMG("ID_6FFAFB0274634459A1B17A1854DED8F8",1)</f>
        <v>=DISPIMG("ID_6FFAFB0274634459A1B17A1854DED8F8",1)</v>
      </c>
      <c r="P88" s="9" t="str">
        <f>_xlfn.DISPIMG("ID_113EBABF305E40979E4BC98B0CAB9FEF",1)</f>
        <v>=DISPIMG("ID_113EBABF305E40979E4BC98B0CAB9FEF",1)</v>
      </c>
      <c r="Q88" s="8"/>
      <c r="R88" s="8" t="s">
        <v>179</v>
      </c>
    </row>
    <row r="89" s="12" customFormat="1" ht="153.7" spans="1:21">
      <c r="A89" s="100" t="s">
        <v>180</v>
      </c>
      <c r="B89" s="89">
        <v>46101</v>
      </c>
      <c r="C89" s="90"/>
      <c r="D89" s="106" t="s">
        <v>131</v>
      </c>
      <c r="E89" s="69" t="s">
        <v>41</v>
      </c>
      <c r="F89" s="69">
        <v>12</v>
      </c>
      <c r="G89" s="69">
        <v>100</v>
      </c>
      <c r="H89" s="81">
        <v>1200</v>
      </c>
      <c r="I89" s="71" t="s">
        <v>24</v>
      </c>
      <c r="J89" s="12" t="str">
        <f>_xlfn.DISPIMG("ID_1920166CEFE1456AB5C062C5586901C9",1)</f>
        <v>=DISPIMG("ID_1920166CEFE1456AB5C062C5586901C9",1)</v>
      </c>
      <c r="L89" s="103"/>
      <c r="M89" s="69" t="str">
        <f>_xlfn.DISPIMG("ID_7D18A04733774E77B488B36342B39749",1)</f>
        <v>=DISPIMG("ID_7D18A04733774E77B488B36342B39749",1)</v>
      </c>
      <c r="N89" s="107"/>
      <c r="O89" s="107" t="str">
        <f>_xlfn.DISPIMG("ID_C7705CC4504143A986E1BE0CC900DF39",1)</f>
        <v>=DISPIMG("ID_C7705CC4504143A986E1BE0CC900DF39",1)</v>
      </c>
      <c r="Q89" s="8"/>
      <c r="R89" s="8"/>
      <c r="S89" s="8"/>
    </row>
    <row r="90" s="12" customFormat="1" ht="154.95" spans="1:21">
      <c r="A90" s="100"/>
      <c r="B90" s="89">
        <v>46104</v>
      </c>
      <c r="C90" s="90"/>
      <c r="D90" s="106"/>
      <c r="E90" s="5" t="s">
        <v>49</v>
      </c>
      <c r="F90" s="69">
        <v>12</v>
      </c>
      <c r="G90" s="69">
        <v>100</v>
      </c>
      <c r="H90" s="81">
        <v>1200</v>
      </c>
      <c r="I90" s="71" t="s">
        <v>24</v>
      </c>
      <c r="J90" s="12" t="str">
        <f>_xlfn.DISPIMG("ID_C4F67C386F2046AB8AAF13BE16690C23",1)</f>
        <v>=DISPIMG("ID_C4F67C386F2046AB8AAF13BE16690C23",1)</v>
      </c>
      <c r="L90" s="103"/>
      <c r="M90" s="69" t="str">
        <f>_xlfn.DISPIMG("ID_A798738A60C5403C9C8BE554BE1720F8",1)</f>
        <v>=DISPIMG("ID_A798738A60C5403C9C8BE554BE1720F8",1)</v>
      </c>
      <c r="N90" s="107"/>
      <c r="O90" s="107" t="str">
        <f>_xlfn.DISPIMG("ID_9A15E08E80D648EAA75217D49C548A4A",1)</f>
        <v>=DISPIMG("ID_9A15E08E80D648EAA75217D49C548A4A",1)</v>
      </c>
      <c r="Q90" s="8"/>
      <c r="R90" s="8"/>
      <c r="S90" s="8"/>
    </row>
    <row r="91" s="9" customFormat="1" ht="67.5" spans="1:21">
      <c r="A91" s="6" t="s">
        <v>180</v>
      </c>
      <c r="B91" s="7">
        <v>46114</v>
      </c>
      <c r="C91" s="7"/>
      <c r="D91" s="104" t="s">
        <v>181</v>
      </c>
      <c r="E91" s="9" t="s">
        <v>159</v>
      </c>
      <c r="F91" s="9">
        <v>12</v>
      </c>
      <c r="G91" s="9">
        <v>12</v>
      </c>
      <c r="H91" s="58">
        <v>144</v>
      </c>
      <c r="I91" s="63" t="s">
        <v>24</v>
      </c>
      <c r="J91" s="9" t="str">
        <f>_xlfn.DISPIMG("ID_21425EA7E6F3427FBCE54F799F6E22F0",1)</f>
        <v>=DISPIMG("ID_21425EA7E6F3427FBCE54F799F6E22F0",1)</v>
      </c>
      <c r="L91" s="104" t="s">
        <v>182</v>
      </c>
    </row>
    <row r="92" s="9" customFormat="1" ht="48.75" spans="1:21">
      <c r="A92" s="6"/>
      <c r="B92" s="7">
        <v>46114</v>
      </c>
      <c r="C92" s="7"/>
      <c r="D92" s="104"/>
      <c r="E92" s="9" t="s">
        <v>41</v>
      </c>
      <c r="F92" s="9">
        <v>12</v>
      </c>
      <c r="G92" s="9">
        <v>12</v>
      </c>
      <c r="H92" s="58">
        <v>144</v>
      </c>
      <c r="I92" s="63" t="s">
        <v>24</v>
      </c>
      <c r="J92" s="9" t="str">
        <f>_xlfn.DISPIMG("ID_AE655032B6BD44BCA1A75B585CAE095F",1)</f>
        <v>=DISPIMG("ID_AE655032B6BD44BCA1A75B585CAE095F",1)</v>
      </c>
      <c r="L92" s="104"/>
    </row>
    <row r="93" s="9" customFormat="1" ht="65.25" spans="1:21">
      <c r="A93" s="6"/>
      <c r="B93" s="7">
        <v>46114</v>
      </c>
      <c r="C93" s="7"/>
      <c r="D93" s="104"/>
      <c r="E93" s="9" t="s">
        <v>183</v>
      </c>
      <c r="F93" s="9">
        <v>12</v>
      </c>
      <c r="G93" s="9">
        <v>6</v>
      </c>
      <c r="H93" s="58">
        <v>72</v>
      </c>
      <c r="I93" s="63" t="s">
        <v>24</v>
      </c>
      <c r="J93" s="9" t="str">
        <f>_xlfn.DISPIMG("ID_8300B0B7A3444E88931F5624AF238F6E",1)</f>
        <v>=DISPIMG("ID_8300B0B7A3444E88931F5624AF238F6E",1)</v>
      </c>
      <c r="L93" s="104"/>
    </row>
    <row r="94" s="9" customFormat="1" ht="66.75" spans="1:21">
      <c r="A94" s="6"/>
      <c r="B94" s="7">
        <v>46114</v>
      </c>
      <c r="C94" s="7"/>
      <c r="D94" s="104"/>
      <c r="E94" s="36" t="s">
        <v>44</v>
      </c>
      <c r="F94" s="9">
        <v>12</v>
      </c>
      <c r="G94" s="9">
        <v>5</v>
      </c>
      <c r="H94" s="58">
        <v>60</v>
      </c>
      <c r="I94" s="63" t="s">
        <v>24</v>
      </c>
      <c r="J94" s="9" t="str">
        <f>_xlfn.DISPIMG("ID_4022031D934948F5B038E8B570F2F967",1)</f>
        <v>=DISPIMG("ID_4022031D934948F5B038E8B570F2F967",1)</v>
      </c>
      <c r="L94" s="104"/>
    </row>
    <row r="95" s="9" customFormat="1" ht="48.75" spans="1:21">
      <c r="A95" s="6"/>
      <c r="B95" s="7">
        <v>46114</v>
      </c>
      <c r="C95" s="7"/>
      <c r="D95" s="104"/>
      <c r="E95" s="9" t="s">
        <v>41</v>
      </c>
      <c r="F95" s="9">
        <v>12</v>
      </c>
      <c r="G95" s="9">
        <v>4</v>
      </c>
      <c r="H95" s="58">
        <v>48</v>
      </c>
      <c r="I95" s="63" t="s">
        <v>24</v>
      </c>
      <c r="J95" s="9" t="str">
        <f>_xlfn.DISPIMG("ID_99672A34F1CF442D9028E4F48FC2F0D3",1)</f>
        <v>=DISPIMG("ID_99672A34F1CF442D9028E4F48FC2F0D3",1)</v>
      </c>
      <c r="L95" s="104"/>
    </row>
    <row r="96" s="12" customFormat="1" spans="1:21">
      <c r="A96" s="100" t="s">
        <v>184</v>
      </c>
      <c r="B96" s="101">
        <v>46097</v>
      </c>
      <c r="C96" s="101"/>
      <c r="D96" s="106" t="s">
        <v>185</v>
      </c>
      <c r="E96" s="69" t="s">
        <v>41</v>
      </c>
      <c r="F96" s="69">
        <v>12</v>
      </c>
      <c r="G96" s="69">
        <v>100</v>
      </c>
      <c r="H96" s="81">
        <v>1200</v>
      </c>
      <c r="I96" s="71" t="s">
        <v>24</v>
      </c>
      <c r="L96" s="108"/>
      <c r="M96" s="69"/>
      <c r="Q96" s="8"/>
      <c r="R96" s="8"/>
      <c r="S96" s="8"/>
    </row>
    <row r="97" s="12" customFormat="1" spans="1:21">
      <c r="A97" s="100" t="s">
        <v>186</v>
      </c>
      <c r="B97" s="101">
        <v>46098</v>
      </c>
      <c r="C97" s="101"/>
      <c r="D97" s="106" t="s">
        <v>187</v>
      </c>
      <c r="E97" s="5" t="s">
        <v>44</v>
      </c>
      <c r="F97" s="69">
        <v>12</v>
      </c>
      <c r="G97" s="69">
        <v>30</v>
      </c>
      <c r="H97" s="81">
        <v>360</v>
      </c>
      <c r="I97" s="71" t="s">
        <v>24</v>
      </c>
      <c r="L97" s="108"/>
      <c r="M97" s="69"/>
      <c r="Q97" s="8"/>
      <c r="R97" s="8"/>
      <c r="S97" s="8"/>
    </row>
    <row r="98" s="12" customFormat="1" spans="1:21">
      <c r="A98" s="100"/>
      <c r="B98" s="101">
        <v>46098</v>
      </c>
      <c r="C98" s="101"/>
      <c r="D98" s="106"/>
      <c r="E98" s="69" t="s">
        <v>41</v>
      </c>
      <c r="F98" s="69">
        <v>12</v>
      </c>
      <c r="G98" s="69">
        <v>30</v>
      </c>
      <c r="H98" s="81">
        <v>360</v>
      </c>
      <c r="I98" s="71" t="s">
        <v>24</v>
      </c>
      <c r="L98" s="103"/>
      <c r="M98" s="69"/>
      <c r="Q98" s="8"/>
      <c r="R98" s="8"/>
      <c r="S98" s="8"/>
    </row>
    <row r="99" s="12" customFormat="1" spans="1:21">
      <c r="A99" s="100"/>
      <c r="B99" s="101">
        <v>46098</v>
      </c>
      <c r="C99" s="101"/>
      <c r="D99" s="106"/>
      <c r="E99" s="5" t="s">
        <v>49</v>
      </c>
      <c r="F99" s="69">
        <v>12</v>
      </c>
      <c r="G99" s="69">
        <v>30</v>
      </c>
      <c r="H99" s="81">
        <v>360</v>
      </c>
      <c r="I99" s="71" t="s">
        <v>24</v>
      </c>
      <c r="L99" s="103"/>
      <c r="M99" s="69"/>
      <c r="Q99" s="8"/>
      <c r="R99" s="8"/>
      <c r="S99" s="8"/>
    </row>
    <row r="100" s="12" customFormat="1" spans="1:21">
      <c r="A100" s="100"/>
      <c r="B100" s="101">
        <v>46098</v>
      </c>
      <c r="C100" s="101"/>
      <c r="D100" s="106"/>
      <c r="E100" s="69" t="s">
        <v>132</v>
      </c>
      <c r="F100" s="69">
        <v>12</v>
      </c>
      <c r="G100" s="69">
        <v>30</v>
      </c>
      <c r="H100" s="81">
        <v>360</v>
      </c>
      <c r="I100" s="71" t="s">
        <v>24</v>
      </c>
      <c r="L100" s="103"/>
      <c r="M100" s="69"/>
      <c r="Q100" s="8"/>
      <c r="R100" s="8"/>
      <c r="S100" s="8"/>
    </row>
    <row r="101" s="12" customFormat="1" spans="1:21">
      <c r="A101" s="100" t="s">
        <v>188</v>
      </c>
      <c r="B101" s="101">
        <v>46098</v>
      </c>
      <c r="C101" s="101"/>
      <c r="D101" s="106" t="s">
        <v>185</v>
      </c>
      <c r="E101" s="5" t="s">
        <v>49</v>
      </c>
      <c r="F101" s="69">
        <v>12</v>
      </c>
      <c r="G101" s="69">
        <v>10</v>
      </c>
      <c r="H101" s="81">
        <v>120</v>
      </c>
      <c r="I101" s="71" t="s">
        <v>24</v>
      </c>
      <c r="J101" s="109"/>
      <c r="K101" s="109"/>
      <c r="L101" s="110"/>
      <c r="M101" s="111"/>
      <c r="N101" s="112"/>
      <c r="O101" s="112"/>
      <c r="P101" s="109"/>
      <c r="Q101" s="113"/>
      <c r="R101" s="113"/>
      <c r="S101" s="8"/>
    </row>
    <row r="102" s="9" customFormat="1" ht="171.1" spans="1:21">
      <c r="A102" s="6" t="s">
        <v>189</v>
      </c>
      <c r="B102" s="7">
        <v>46101</v>
      </c>
      <c r="C102" s="7"/>
      <c r="D102" s="104" t="s">
        <v>106</v>
      </c>
      <c r="E102" s="9" t="s">
        <v>41</v>
      </c>
      <c r="F102" s="9">
        <v>12</v>
      </c>
      <c r="G102" s="9">
        <v>20</v>
      </c>
      <c r="H102" s="58">
        <v>240</v>
      </c>
      <c r="I102" s="63" t="s">
        <v>24</v>
      </c>
      <c r="J102" s="9" t="str">
        <f>_xlfn.DISPIMG("ID_99672A34F1CF442D9028E4F48FC2F0D3",1)</f>
        <v>=DISPIMG("ID_99672A34F1CF442D9028E4F48FC2F0D3",1)</v>
      </c>
      <c r="L102" s="104" t="s">
        <v>190</v>
      </c>
      <c r="M102" s="9" t="str">
        <f>_xlfn.DISPIMG("ID_F53D0C4C050B42C797BE62DF9A8B87CA",1)</f>
        <v>=DISPIMG("ID_F53D0C4C050B42C797BE62DF9A8B87CA",1)</v>
      </c>
    </row>
    <row r="103" s="9" customFormat="1" ht="145.1" spans="1:21">
      <c r="A103" s="6"/>
      <c r="B103" s="7">
        <v>46101</v>
      </c>
      <c r="C103" s="7"/>
      <c r="D103" s="104"/>
      <c r="E103" s="36" t="s">
        <v>49</v>
      </c>
      <c r="F103" s="9">
        <v>12</v>
      </c>
      <c r="G103" s="9">
        <v>6</v>
      </c>
      <c r="H103" s="58">
        <v>72</v>
      </c>
      <c r="I103" s="63" t="s">
        <v>24</v>
      </c>
      <c r="J103" s="9" t="str">
        <f>_xlfn.DISPIMG("ID_7C99E16422BA4A1188EAC9CA37E83524",1)</f>
        <v>=DISPIMG("ID_7C99E16422BA4A1188EAC9CA37E83524",1)</v>
      </c>
      <c r="L103" s="104"/>
      <c r="M103" s="9" t="str">
        <f>_xlfn.DISPIMG("ID_16046AFCF4A84FFFBCF0706CBBF9D978",1)</f>
        <v>=DISPIMG("ID_16046AFCF4A84FFFBCF0706CBBF9D978",1)</v>
      </c>
    </row>
    <row r="104" s="39" customFormat="1" spans="1:21">
      <c r="A104" s="114" t="s">
        <v>191</v>
      </c>
      <c r="B104" s="7">
        <v>46141</v>
      </c>
      <c r="C104" s="7"/>
      <c r="D104" s="115" t="s">
        <v>22</v>
      </c>
      <c r="E104" s="9" t="s">
        <v>162</v>
      </c>
      <c r="F104" s="9">
        <v>12</v>
      </c>
      <c r="G104" s="9">
        <v>188</v>
      </c>
      <c r="H104" s="58">
        <f>F104*G104</f>
        <v>2256</v>
      </c>
      <c r="I104" s="63" t="s">
        <v>24</v>
      </c>
      <c r="J104" s="9"/>
      <c r="K104" s="9" t="s">
        <v>192</v>
      </c>
      <c r="L104" s="8"/>
      <c r="M104" s="6" t="str">
        <f>_xlfn.DISPIMG("ID_E01131E461AB4955A3797426D8DA6E8D",1)</f>
        <v>=DISPIMG("ID_E01131E461AB4955A3797426D8DA6E8D",1)</v>
      </c>
      <c r="N104" s="9"/>
      <c r="O104" s="9"/>
      <c r="P104" s="9"/>
      <c r="Q104" s="8"/>
      <c r="R104" s="8"/>
      <c r="S104" s="113"/>
      <c r="T104" s="10"/>
      <c r="U104" s="10"/>
    </row>
    <row r="105" s="9" customFormat="1" spans="1:21">
      <c r="A105" s="116"/>
      <c r="B105" s="7">
        <v>46141</v>
      </c>
      <c r="C105" s="7"/>
      <c r="D105" s="115" t="s">
        <v>22</v>
      </c>
      <c r="E105" s="9" t="s">
        <v>117</v>
      </c>
      <c r="F105" s="9">
        <v>12</v>
      </c>
      <c r="G105" s="9">
        <v>150</v>
      </c>
      <c r="H105" s="58">
        <f>F105*G105</f>
        <v>1800</v>
      </c>
      <c r="I105" s="63" t="s">
        <v>24</v>
      </c>
      <c r="K105" s="9" t="s">
        <v>192</v>
      </c>
      <c r="L105" s="8"/>
      <c r="M105" s="6"/>
    </row>
    <row r="106" s="9" customFormat="1" spans="1:21">
      <c r="A106" s="116"/>
      <c r="B106" s="7">
        <v>46141</v>
      </c>
      <c r="C106" s="7"/>
      <c r="D106" s="115" t="s">
        <v>22</v>
      </c>
      <c r="E106" s="9" t="s">
        <v>25</v>
      </c>
      <c r="F106" s="9">
        <v>12</v>
      </c>
      <c r="G106" s="9">
        <v>180</v>
      </c>
      <c r="H106" s="58">
        <f>F106*G106</f>
        <v>2160</v>
      </c>
      <c r="I106" s="63" t="s">
        <v>24</v>
      </c>
      <c r="K106" s="9" t="s">
        <v>192</v>
      </c>
      <c r="L106" s="8"/>
      <c r="M106" s="6"/>
    </row>
    <row r="107" s="9" customFormat="1" spans="1:21">
      <c r="A107" s="117"/>
      <c r="B107" s="7">
        <v>46141</v>
      </c>
      <c r="C107" s="7"/>
      <c r="D107" s="115" t="s">
        <v>22</v>
      </c>
      <c r="E107" s="9" t="s">
        <v>41</v>
      </c>
      <c r="F107" s="9">
        <v>12</v>
      </c>
      <c r="G107" s="9">
        <v>3</v>
      </c>
      <c r="H107" s="58">
        <f>F107*G107</f>
        <v>36</v>
      </c>
      <c r="I107" s="63" t="s">
        <v>24</v>
      </c>
      <c r="L107" s="8"/>
      <c r="M107" s="6"/>
    </row>
    <row r="108" s="9" customFormat="1" ht="281.45" spans="1:21">
      <c r="A108" s="74" t="s">
        <v>193</v>
      </c>
      <c r="B108" s="73">
        <v>46132</v>
      </c>
      <c r="C108" s="73"/>
      <c r="D108" s="113" t="s">
        <v>26</v>
      </c>
      <c r="E108" s="39" t="s">
        <v>162</v>
      </c>
      <c r="F108" s="39">
        <v>12</v>
      </c>
      <c r="G108" s="39">
        <v>20</v>
      </c>
      <c r="H108" s="11">
        <v>240</v>
      </c>
      <c r="I108" s="11" t="s">
        <v>24</v>
      </c>
      <c r="J108" s="10"/>
      <c r="K108" s="10"/>
      <c r="L108" s="113" t="s">
        <v>194</v>
      </c>
      <c r="M108" s="39" t="str">
        <f>_xlfn.DISPIMG("ID_8F58572BAFC049109F263B9D1CC0AFAB",1)</f>
        <v>=DISPIMG("ID_8F58572BAFC049109F263B9D1CC0AFAB",1)</v>
      </c>
    </row>
    <row r="109" s="9" customFormat="1" ht="67.5" spans="1:21">
      <c r="A109" s="74" t="s">
        <v>195</v>
      </c>
      <c r="B109" s="73"/>
      <c r="C109" s="73"/>
      <c r="D109" s="104" t="s">
        <v>185</v>
      </c>
      <c r="E109" s="36" t="s">
        <v>49</v>
      </c>
      <c r="F109" s="39">
        <v>12</v>
      </c>
      <c r="G109" s="39">
        <v>75</v>
      </c>
      <c r="H109" s="11">
        <v>900</v>
      </c>
      <c r="I109" s="11" t="s">
        <v>24</v>
      </c>
      <c r="J109" s="9" t="str">
        <f>_xlfn.DISPIMG("ID_BFE478B2794445D59C3EA1A3015DD1A4",1)</f>
        <v>=DISPIMG("ID_BFE478B2794445D59C3EA1A3015DD1A4",1)</v>
      </c>
      <c r="L109" s="104"/>
    </row>
    <row r="110" s="9" customFormat="1" ht="49.5" spans="1:21">
      <c r="A110" s="74"/>
      <c r="B110" s="73"/>
      <c r="C110" s="73"/>
      <c r="D110" s="104"/>
      <c r="E110" s="39" t="s">
        <v>196</v>
      </c>
      <c r="F110" s="39">
        <v>12</v>
      </c>
      <c r="G110" s="39">
        <v>50</v>
      </c>
      <c r="H110" s="11">
        <v>600</v>
      </c>
      <c r="I110" s="11" t="s">
        <v>24</v>
      </c>
      <c r="J110" s="9" t="str">
        <f>_xlfn.DISPIMG("ID_F557C088D3A44A08A43CAC3020CAE27F",1)</f>
        <v>=DISPIMG("ID_F557C088D3A44A08A43CAC3020CAE27F",1)</v>
      </c>
      <c r="L110" s="104"/>
    </row>
    <row r="111" s="12" customFormat="1" spans="1:21">
      <c r="A111" s="100" t="s">
        <v>197</v>
      </c>
      <c r="B111" s="101">
        <v>46114</v>
      </c>
      <c r="C111" s="101"/>
      <c r="D111" s="106" t="s">
        <v>198</v>
      </c>
      <c r="E111" s="5" t="s">
        <v>44</v>
      </c>
      <c r="F111" s="69">
        <v>12</v>
      </c>
      <c r="G111" s="69">
        <v>5</v>
      </c>
      <c r="H111" s="81">
        <v>60</v>
      </c>
      <c r="I111" s="71" t="s">
        <v>24</v>
      </c>
      <c r="J111" s="5"/>
      <c r="K111" s="5"/>
      <c r="L111" s="118"/>
      <c r="M111" s="69"/>
      <c r="Q111" s="8"/>
      <c r="R111" s="8"/>
      <c r="S111" s="8"/>
    </row>
    <row r="112" s="12" customFormat="1" spans="1:21">
      <c r="A112" s="100"/>
      <c r="B112" s="101">
        <v>46114</v>
      </c>
      <c r="C112" s="101"/>
      <c r="D112" s="106"/>
      <c r="E112" s="69" t="s">
        <v>41</v>
      </c>
      <c r="F112" s="69">
        <v>12</v>
      </c>
      <c r="G112" s="69">
        <v>20</v>
      </c>
      <c r="H112" s="81">
        <v>240</v>
      </c>
      <c r="I112" s="71" t="s">
        <v>24</v>
      </c>
      <c r="J112" s="5"/>
      <c r="K112" s="5"/>
      <c r="L112" s="5"/>
      <c r="M112" s="69"/>
      <c r="Q112" s="8"/>
      <c r="R112" s="8"/>
      <c r="S112" s="8"/>
    </row>
    <row r="113" s="12" customFormat="1" spans="1:19">
      <c r="A113" s="100"/>
      <c r="B113" s="101">
        <v>46114</v>
      </c>
      <c r="C113" s="101"/>
      <c r="D113" s="106"/>
      <c r="E113" s="69" t="s">
        <v>199</v>
      </c>
      <c r="F113" s="69">
        <v>12</v>
      </c>
      <c r="G113" s="69">
        <v>5</v>
      </c>
      <c r="H113" s="81">
        <v>60</v>
      </c>
      <c r="I113" s="71" t="s">
        <v>24</v>
      </c>
      <c r="J113" s="5"/>
      <c r="K113" s="5"/>
      <c r="L113" s="5"/>
      <c r="M113" s="69"/>
      <c r="Q113" s="8"/>
      <c r="R113" s="8"/>
      <c r="S113" s="8"/>
    </row>
    <row r="114" s="12" customFormat="1" ht="48.75" spans="1:19">
      <c r="A114" s="100" t="s">
        <v>200</v>
      </c>
      <c r="B114" s="101">
        <v>46102</v>
      </c>
      <c r="C114" s="101"/>
      <c r="D114" s="106" t="s">
        <v>201</v>
      </c>
      <c r="E114" s="69" t="s">
        <v>41</v>
      </c>
      <c r="F114" s="69">
        <v>12</v>
      </c>
      <c r="G114" s="69">
        <v>20</v>
      </c>
      <c r="H114" s="81">
        <v>240</v>
      </c>
      <c r="I114" s="71" t="s">
        <v>24</v>
      </c>
      <c r="J114" s="12" t="str">
        <f>_xlfn.DISPIMG("ID_F557C088D3A44A08A43CAC3020CAE27F",1)</f>
        <v>=DISPIMG("ID_F557C088D3A44A08A43CAC3020CAE27F",1)</v>
      </c>
      <c r="L114" s="119" t="s">
        <v>123</v>
      </c>
      <c r="M114" s="69"/>
      <c r="Q114" s="8"/>
      <c r="R114" s="8"/>
      <c r="S114" s="8"/>
    </row>
    <row r="115" s="12" customFormat="1" ht="81.35" spans="1:19">
      <c r="A115" s="100"/>
      <c r="B115" s="101">
        <v>46102</v>
      </c>
      <c r="C115" s="101"/>
      <c r="D115" s="106"/>
      <c r="E115" s="5" t="s">
        <v>49</v>
      </c>
      <c r="F115" s="69">
        <v>12</v>
      </c>
      <c r="G115" s="69">
        <v>20</v>
      </c>
      <c r="H115" s="81">
        <v>240</v>
      </c>
      <c r="I115" s="71" t="s">
        <v>24</v>
      </c>
      <c r="J115" s="12" t="str">
        <f>_xlfn.DISPIMG("ID_7C99E16422BA4A1188EAC9CA37E83524",1)</f>
        <v>=DISPIMG("ID_7C99E16422BA4A1188EAC9CA37E83524",1)</v>
      </c>
      <c r="L115" s="120"/>
      <c r="M115" s="69"/>
      <c r="Q115" s="8"/>
      <c r="R115" s="8"/>
      <c r="S115" s="8"/>
    </row>
    <row r="116" s="12" customFormat="1" ht="81.35" spans="1:19">
      <c r="A116" s="100" t="s">
        <v>202</v>
      </c>
      <c r="B116" s="101">
        <v>46105</v>
      </c>
      <c r="C116" s="101"/>
      <c r="D116" s="106" t="s">
        <v>203</v>
      </c>
      <c r="E116" s="5" t="s">
        <v>49</v>
      </c>
      <c r="F116" s="69">
        <v>12</v>
      </c>
      <c r="G116" s="69">
        <v>30</v>
      </c>
      <c r="H116" s="81">
        <v>360</v>
      </c>
      <c r="I116" s="71" t="s">
        <v>24</v>
      </c>
      <c r="J116" s="12" t="str">
        <f>_xlfn.DISPIMG("ID_7C99E16422BA4A1188EAC9CA37E83524",1)</f>
        <v>=DISPIMG("ID_7C99E16422BA4A1188EAC9CA37E83524",1)</v>
      </c>
      <c r="L116" s="119" t="s">
        <v>123</v>
      </c>
      <c r="M116" s="69"/>
      <c r="Q116" s="8"/>
      <c r="R116" s="8"/>
      <c r="S116" s="8"/>
    </row>
    <row r="117" s="12" customFormat="1" ht="67.5" spans="1:19">
      <c r="A117" s="100"/>
      <c r="B117" s="101">
        <v>46105</v>
      </c>
      <c r="C117" s="101"/>
      <c r="D117" s="106"/>
      <c r="E117" s="69" t="s">
        <v>117</v>
      </c>
      <c r="F117" s="69">
        <v>12</v>
      </c>
      <c r="G117" s="69">
        <v>8</v>
      </c>
      <c r="H117" s="81">
        <v>96</v>
      </c>
      <c r="I117" s="71" t="s">
        <v>24</v>
      </c>
      <c r="J117" s="12" t="str">
        <f>_xlfn.DISPIMG("ID_21425EA7E6F3427FBCE54F799F6E22F0",1)</f>
        <v>=DISPIMG("ID_21425EA7E6F3427FBCE54F799F6E22F0",1)</v>
      </c>
      <c r="L117" s="119"/>
      <c r="M117" s="69"/>
      <c r="Q117" s="8"/>
      <c r="R117" s="8"/>
      <c r="S117" s="8"/>
    </row>
    <row r="118" s="12" customFormat="1" ht="64.5" spans="1:19">
      <c r="A118" s="100" t="s">
        <v>204</v>
      </c>
      <c r="B118" s="101">
        <v>46103</v>
      </c>
      <c r="C118" s="101"/>
      <c r="D118" s="106" t="s">
        <v>205</v>
      </c>
      <c r="E118" s="69" t="s">
        <v>77</v>
      </c>
      <c r="F118" s="69">
        <v>12</v>
      </c>
      <c r="G118" s="69">
        <v>16</v>
      </c>
      <c r="H118" s="81">
        <v>192</v>
      </c>
      <c r="I118" s="71" t="s">
        <v>24</v>
      </c>
      <c r="J118" s="12" t="str">
        <f>_xlfn.DISPIMG("ID_467A44284C6A4D73982118C967BF5636",1)</f>
        <v>=DISPIMG("ID_467A44284C6A4D73982118C967BF5636",1)</v>
      </c>
      <c r="L118" s="119" t="s">
        <v>206</v>
      </c>
      <c r="M118" s="69"/>
      <c r="Q118" s="8"/>
      <c r="R118" s="8"/>
      <c r="S118" s="8"/>
    </row>
    <row r="119" s="12" customFormat="1" ht="115.4" spans="1:19">
      <c r="A119" s="100"/>
      <c r="B119" s="101">
        <v>46103</v>
      </c>
      <c r="C119" s="101"/>
      <c r="D119" s="106"/>
      <c r="E119" s="69" t="s">
        <v>77</v>
      </c>
      <c r="F119" s="69"/>
      <c r="G119" s="69"/>
      <c r="H119" s="81">
        <v>8</v>
      </c>
      <c r="I119" s="71" t="s">
        <v>24</v>
      </c>
      <c r="J119" s="12" t="str">
        <f>_xlfn.DISPIMG("ID_467A44284C6A4D73982118C967BF5636",1)</f>
        <v>=DISPIMG("ID_467A44284C6A4D73982118C967BF5636",1)</v>
      </c>
      <c r="L119" s="119"/>
      <c r="M119" s="69"/>
      <c r="Q119" s="8"/>
      <c r="R119" s="8"/>
      <c r="S119" s="8"/>
    </row>
    <row r="120" s="12" customFormat="1" ht="63" spans="1:19">
      <c r="A120" s="100" t="s">
        <v>207</v>
      </c>
      <c r="B120" s="101">
        <v>46106</v>
      </c>
      <c r="C120" s="101"/>
      <c r="D120" s="102" t="s">
        <v>208</v>
      </c>
      <c r="E120" s="69" t="s">
        <v>41</v>
      </c>
      <c r="F120" s="69">
        <v>12</v>
      </c>
      <c r="G120" s="69">
        <v>20</v>
      </c>
      <c r="H120" s="81">
        <v>240</v>
      </c>
      <c r="I120" s="71" t="s">
        <v>24</v>
      </c>
      <c r="J120" s="12" t="str">
        <f>_xlfn.DISPIMG("ID_F557C088D3A44A08A43CAC3020CAE27F",1)</f>
        <v>=DISPIMG("ID_F557C088D3A44A08A43CAC3020CAE27F",1)</v>
      </c>
      <c r="L120" s="121" t="s">
        <v>209</v>
      </c>
      <c r="M120" s="69"/>
      <c r="Q120" s="8"/>
      <c r="R120" s="8"/>
      <c r="S120" s="8"/>
    </row>
    <row r="121" s="12" customFormat="1" ht="99.95" spans="1:19">
      <c r="A121" s="100" t="s">
        <v>210</v>
      </c>
      <c r="B121" s="101">
        <v>46103</v>
      </c>
      <c r="C121" s="101"/>
      <c r="D121" s="106" t="s">
        <v>211</v>
      </c>
      <c r="E121" s="69" t="s">
        <v>41</v>
      </c>
      <c r="F121" s="69">
        <v>12</v>
      </c>
      <c r="G121" s="69">
        <v>10</v>
      </c>
      <c r="H121" s="81">
        <v>120</v>
      </c>
      <c r="I121" s="71" t="s">
        <v>24</v>
      </c>
      <c r="J121" s="12" t="str">
        <f>_xlfn.DISPIMG("ID_F557C088D3A44A08A43CAC3020CAE27F",1)</f>
        <v>=DISPIMG("ID_F557C088D3A44A08A43CAC3020CAE27F",1)</v>
      </c>
      <c r="L121" s="120"/>
      <c r="M121" s="69"/>
      <c r="O121" s="12" t="str">
        <f>_xlfn.DISPIMG("ID_BE3384EB069B4CF4A28397FC20D7690E",1)</f>
        <v>=DISPIMG("ID_BE3384EB069B4CF4A28397FC20D7690E",1)</v>
      </c>
      <c r="Q121" s="8"/>
      <c r="R121" s="8"/>
      <c r="S121" s="8"/>
    </row>
    <row r="122" s="12" customFormat="1" spans="1:19">
      <c r="A122" s="100" t="s">
        <v>212</v>
      </c>
      <c r="B122" s="101">
        <v>46116</v>
      </c>
      <c r="C122" s="101"/>
      <c r="D122" s="106" t="s">
        <v>213</v>
      </c>
      <c r="E122" s="69" t="s">
        <v>41</v>
      </c>
      <c r="F122" s="69">
        <v>12</v>
      </c>
      <c r="G122" s="69">
        <v>5</v>
      </c>
      <c r="H122" s="81">
        <v>60</v>
      </c>
      <c r="I122" s="71" t="s">
        <v>24</v>
      </c>
      <c r="L122" s="120" t="s">
        <v>214</v>
      </c>
      <c r="M122" s="69"/>
      <c r="Q122" s="8"/>
      <c r="R122" s="8"/>
      <c r="S122" s="8"/>
    </row>
    <row r="123" s="12" customFormat="1" spans="1:19">
      <c r="A123" s="100"/>
      <c r="B123" s="101">
        <v>46116</v>
      </c>
      <c r="C123" s="101"/>
      <c r="D123" s="106"/>
      <c r="E123" s="69" t="s">
        <v>25</v>
      </c>
      <c r="F123" s="69">
        <v>12</v>
      </c>
      <c r="G123" s="69">
        <v>20</v>
      </c>
      <c r="H123" s="81">
        <v>240</v>
      </c>
      <c r="I123" s="71" t="s">
        <v>24</v>
      </c>
      <c r="L123" s="120"/>
      <c r="M123" s="69"/>
      <c r="Q123" s="8"/>
      <c r="R123" s="8"/>
      <c r="S123" s="8"/>
    </row>
    <row r="124" s="12" customFormat="1" spans="1:19">
      <c r="A124" s="100"/>
      <c r="B124" s="101">
        <v>46116</v>
      </c>
      <c r="C124" s="101"/>
      <c r="D124" s="106"/>
      <c r="E124" s="69" t="s">
        <v>132</v>
      </c>
      <c r="F124" s="69">
        <v>12</v>
      </c>
      <c r="G124" s="69">
        <v>15</v>
      </c>
      <c r="H124" s="81">
        <v>180</v>
      </c>
      <c r="I124" s="71" t="s">
        <v>24</v>
      </c>
      <c r="L124" s="120"/>
      <c r="M124" s="69"/>
      <c r="Q124" s="8"/>
      <c r="R124" s="8"/>
      <c r="S124" s="8"/>
    </row>
    <row r="125" s="9" customFormat="1" ht="48.75" spans="1:19">
      <c r="A125" s="85" t="s">
        <v>215</v>
      </c>
      <c r="B125" s="86">
        <v>46119</v>
      </c>
      <c r="C125" s="86"/>
      <c r="D125" s="122" t="s">
        <v>216</v>
      </c>
      <c r="E125" s="36" t="s">
        <v>41</v>
      </c>
      <c r="F125" s="36">
        <v>12</v>
      </c>
      <c r="G125" s="36">
        <v>37</v>
      </c>
      <c r="H125" s="123">
        <v>480</v>
      </c>
      <c r="I125" s="123" t="s">
        <v>24</v>
      </c>
      <c r="J125" s="36" t="str">
        <f>_xlfn.DISPIMG("ID_F557C088D3A44A08A43CAC3020CAE27F",1)</f>
        <v>=DISPIMG("ID_F557C088D3A44A08A43CAC3020CAE27F",1)</v>
      </c>
      <c r="K125" s="36"/>
      <c r="L125" s="8"/>
    </row>
    <row r="126" s="9" customFormat="1" ht="81.35" spans="1:19">
      <c r="A126" s="85"/>
      <c r="B126" s="86">
        <v>46119</v>
      </c>
      <c r="C126" s="86"/>
      <c r="D126" s="122"/>
      <c r="E126" s="36" t="s">
        <v>49</v>
      </c>
      <c r="F126" s="36">
        <v>12</v>
      </c>
      <c r="G126" s="36">
        <v>20</v>
      </c>
      <c r="H126" s="123">
        <v>240</v>
      </c>
      <c r="I126" s="123" t="s">
        <v>24</v>
      </c>
      <c r="J126" s="36" t="str">
        <f>_xlfn.DISPIMG("ID_7C99E16422BA4A1188EAC9CA37E83524",1)</f>
        <v>=DISPIMG("ID_7C99E16422BA4A1188EAC9CA37E83524",1)</v>
      </c>
      <c r="K126" s="36"/>
      <c r="L126" s="8"/>
    </row>
    <row r="127" s="12" customFormat="1" ht="192.05" spans="1:19">
      <c r="A127" s="124" t="s">
        <v>217</v>
      </c>
      <c r="B127" s="101">
        <v>46106</v>
      </c>
      <c r="C127" s="101"/>
      <c r="D127" s="125" t="s">
        <v>218</v>
      </c>
      <c r="E127" s="5" t="s">
        <v>44</v>
      </c>
      <c r="F127" s="69">
        <v>12</v>
      </c>
      <c r="G127" s="69">
        <v>12</v>
      </c>
      <c r="H127" s="81">
        <v>144</v>
      </c>
      <c r="I127" s="71" t="s">
        <v>24</v>
      </c>
      <c r="J127" s="70" t="str">
        <f>_xlfn.DISPIMG("ID_65042C298B8D4E4BAFDD2224B674F5FD",1)</f>
        <v>=DISPIMG("ID_65042C298B8D4E4BAFDD2224B674F5FD",1)</v>
      </c>
      <c r="K127" s="126"/>
      <c r="L127" s="103" t="str">
        <f>_xlfn.DISPIMG("ID_C00B12BF8D05421FABF9657CF8E619E0",1)</f>
        <v>=DISPIMG("ID_C00B12BF8D05421FABF9657CF8E619E0",1)</v>
      </c>
      <c r="M127" s="69" t="str">
        <f>_xlfn.DISPIMG("ID_A8CC76B3F658494D9CEEB2FBA50E9288",1)</f>
        <v>=DISPIMG("ID_A8CC76B3F658494D9CEEB2FBA50E9288",1)</v>
      </c>
      <c r="O127" s="12" t="str">
        <f>_xlfn.DISPIMG("ID_BE3384EB069B4CF4A28397FC20D7690E",1)</f>
        <v>=DISPIMG("ID_BE3384EB069B4CF4A28397FC20D7690E",1)</v>
      </c>
      <c r="Q127" s="8"/>
      <c r="R127" s="8"/>
      <c r="S127" s="8"/>
    </row>
    <row r="128" s="9" customFormat="1" ht="33" spans="1:19">
      <c r="A128" s="127" t="s">
        <v>219</v>
      </c>
      <c r="B128" s="7">
        <v>46119</v>
      </c>
      <c r="C128" s="7"/>
      <c r="D128" s="128" t="s">
        <v>220</v>
      </c>
      <c r="E128" s="9" t="s">
        <v>221</v>
      </c>
      <c r="F128" s="9">
        <v>12</v>
      </c>
      <c r="G128" s="9">
        <v>25</v>
      </c>
      <c r="H128" s="58">
        <v>300</v>
      </c>
      <c r="I128" s="63" t="s">
        <v>24</v>
      </c>
      <c r="J128" s="9" t="str">
        <f>_xlfn.DISPIMG("ID_6F1FE7FE22954B8EA23E7D84E263D38A",1)</f>
        <v>=DISPIMG("ID_6F1FE7FE22954B8EA23E7D84E263D38A",1)</v>
      </c>
      <c r="L128" s="8"/>
    </row>
    <row r="129" s="9" customFormat="1" ht="106.4" spans="1:19">
      <c r="A129" s="127" t="s">
        <v>222</v>
      </c>
      <c r="B129" s="7">
        <v>46160</v>
      </c>
      <c r="C129" s="7"/>
      <c r="D129" s="128" t="s">
        <v>114</v>
      </c>
      <c r="E129" s="129" t="s">
        <v>41</v>
      </c>
      <c r="F129" s="9">
        <v>12</v>
      </c>
      <c r="G129" s="9">
        <v>30</v>
      </c>
      <c r="H129" s="58">
        <v>360</v>
      </c>
      <c r="I129" s="63" t="s">
        <v>24</v>
      </c>
      <c r="J129" s="9" t="str">
        <f>_xlfn.DISPIMG("ID_F557C088D3A44A08A43CAC3020CAE27F",1)</f>
        <v>=DISPIMG("ID_F557C088D3A44A08A43CAC3020CAE27F",1)</v>
      </c>
      <c r="K129" s="105">
        <v>46160</v>
      </c>
      <c r="L129" s="128" t="s">
        <v>223</v>
      </c>
      <c r="M129" s="9" t="str">
        <f>_xlfn.DISPIMG("ID_B6109ECBC37B4464940DB3F3EEA0B869",1)</f>
        <v>=DISPIMG("ID_B6109ECBC37B4464940DB3F3EEA0B869",1)</v>
      </c>
      <c r="P129" s="9" t="str">
        <f>_xlfn.DISPIMG("ID_D3E8CEEB21394918B34994E2A23ECAC9",1)</f>
        <v>=DISPIMG("ID_D3E8CEEB21394918B34994E2A23ECAC9",1)</v>
      </c>
    </row>
    <row r="130" s="9" customFormat="1" ht="130.5" spans="1:19">
      <c r="A130" s="6" t="s">
        <v>224</v>
      </c>
      <c r="B130" s="7">
        <v>46119</v>
      </c>
      <c r="C130" s="7"/>
      <c r="D130" s="104" t="s">
        <v>225</v>
      </c>
      <c r="E130" s="36" t="s">
        <v>49</v>
      </c>
      <c r="F130" s="9">
        <v>12</v>
      </c>
      <c r="G130" s="9">
        <v>15</v>
      </c>
      <c r="H130" s="58">
        <v>180</v>
      </c>
      <c r="I130" s="63" t="s">
        <v>24</v>
      </c>
      <c r="J130" s="9" t="str">
        <f>_xlfn.DISPIMG("ID_B79C8D2B3F4343C299A1C1E2AB51C7F8",1)</f>
        <v>=DISPIMG("ID_B79C8D2B3F4343C299A1C1E2AB51C7F8",1)</v>
      </c>
      <c r="L130" s="104" t="s">
        <v>226</v>
      </c>
    </row>
    <row r="131" s="9" customFormat="1" ht="48.75" spans="1:19">
      <c r="A131" s="6"/>
      <c r="B131" s="7">
        <v>46119</v>
      </c>
      <c r="C131" s="7"/>
      <c r="D131" s="104"/>
      <c r="E131" s="36" t="s">
        <v>41</v>
      </c>
      <c r="F131" s="9">
        <v>12</v>
      </c>
      <c r="G131" s="9">
        <v>10</v>
      </c>
      <c r="H131" s="58">
        <v>144</v>
      </c>
      <c r="I131" s="63" t="s">
        <v>24</v>
      </c>
      <c r="J131" s="9" t="str">
        <f t="shared" ref="J131:J135" si="3">_xlfn.DISPIMG("ID_876F4328CE6B4BAB832660E8E72E2C49",1)</f>
        <v>=DISPIMG("ID_876F4328CE6B4BAB832660E8E72E2C49",1)</v>
      </c>
      <c r="L131" s="104"/>
    </row>
    <row r="132" s="12" customFormat="1" ht="64.05" spans="1:19">
      <c r="A132" s="130" t="s">
        <v>227</v>
      </c>
      <c r="B132" s="101">
        <v>46120</v>
      </c>
      <c r="C132" s="101"/>
      <c r="D132" s="108" t="s">
        <v>106</v>
      </c>
      <c r="E132" s="5" t="s">
        <v>44</v>
      </c>
      <c r="F132" s="69">
        <v>12</v>
      </c>
      <c r="G132" s="69">
        <v>5</v>
      </c>
      <c r="H132" s="81">
        <v>60</v>
      </c>
      <c r="I132" s="71" t="s">
        <v>24</v>
      </c>
      <c r="J132" s="70" t="str">
        <f>_xlfn.DISPIMG("ID_65042C298B8D4E4BAFDD2224B674F5FD",1)</f>
        <v>=DISPIMG("ID_65042C298B8D4E4BAFDD2224B674F5FD",1)</v>
      </c>
      <c r="K132" s="126"/>
      <c r="L132" s="103"/>
      <c r="M132" s="131" t="s">
        <v>228</v>
      </c>
      <c r="Q132" s="8"/>
      <c r="R132" s="8"/>
      <c r="S132" s="8"/>
    </row>
    <row r="133" s="12" customFormat="1" ht="48.75" spans="1:19">
      <c r="A133" s="130" t="s">
        <v>227</v>
      </c>
      <c r="B133" s="101">
        <v>46120</v>
      </c>
      <c r="C133" s="101"/>
      <c r="D133" s="108" t="s">
        <v>106</v>
      </c>
      <c r="E133" s="69" t="s">
        <v>41</v>
      </c>
      <c r="F133" s="69">
        <v>12</v>
      </c>
      <c r="G133" s="69">
        <v>10</v>
      </c>
      <c r="H133" s="81">
        <v>120</v>
      </c>
      <c r="I133" s="71" t="s">
        <v>24</v>
      </c>
      <c r="J133" s="12" t="str">
        <f t="shared" si="3"/>
        <v>=DISPIMG("ID_876F4328CE6B4BAB832660E8E72E2C49",1)</v>
      </c>
      <c r="L133" s="103"/>
      <c r="M133" s="131"/>
      <c r="Q133" s="8"/>
      <c r="R133" s="8"/>
      <c r="S133" s="8"/>
    </row>
    <row r="134" s="12" customFormat="1" ht="130.5" spans="1:19">
      <c r="A134" s="130" t="s">
        <v>227</v>
      </c>
      <c r="B134" s="101">
        <v>46120</v>
      </c>
      <c r="C134" s="101"/>
      <c r="D134" s="108" t="s">
        <v>106</v>
      </c>
      <c r="E134" s="5" t="s">
        <v>49</v>
      </c>
      <c r="F134" s="69">
        <v>12</v>
      </c>
      <c r="G134" s="69">
        <v>5</v>
      </c>
      <c r="H134" s="81">
        <v>60</v>
      </c>
      <c r="I134" s="71" t="s">
        <v>24</v>
      </c>
      <c r="J134" s="12" t="str">
        <f>_xlfn.DISPIMG("ID_B79C8D2B3F4343C299A1C1E2AB51C7F8",1)</f>
        <v>=DISPIMG("ID_B79C8D2B3F4343C299A1C1E2AB51C7F8",1)</v>
      </c>
      <c r="L134" s="103"/>
      <c r="M134" s="131"/>
      <c r="Q134" s="8"/>
      <c r="R134" s="8"/>
      <c r="S134" s="8"/>
    </row>
    <row r="135" s="9" customFormat="1" ht="92.1" spans="1:19">
      <c r="A135" s="130" t="s">
        <v>227</v>
      </c>
      <c r="B135" s="7">
        <v>46127</v>
      </c>
      <c r="C135" s="7"/>
      <c r="D135" s="108" t="s">
        <v>106</v>
      </c>
      <c r="E135" s="9" t="s">
        <v>41</v>
      </c>
      <c r="F135" s="9">
        <v>12</v>
      </c>
      <c r="G135" s="9">
        <v>15</v>
      </c>
      <c r="H135" s="58">
        <v>180</v>
      </c>
      <c r="I135" s="63" t="s">
        <v>24</v>
      </c>
      <c r="J135" s="9" t="str">
        <f t="shared" si="3"/>
        <v>=DISPIMG("ID_876F4328CE6B4BAB832660E8E72E2C49",1)</v>
      </c>
      <c r="L135" s="8"/>
      <c r="M135" s="9" t="str">
        <f>_xlfn.DISPIMG("ID_5F85C2A0503348D095EDA2A7CAB04E9A",1)</f>
        <v>=DISPIMG("ID_5F85C2A0503348D095EDA2A7CAB04E9A",1)</v>
      </c>
    </row>
    <row r="136" s="12" customFormat="1" ht="64.05" spans="1:19">
      <c r="A136" s="100" t="s">
        <v>229</v>
      </c>
      <c r="B136" s="101">
        <v>46106</v>
      </c>
      <c r="C136" s="101"/>
      <c r="D136" s="106" t="s">
        <v>185</v>
      </c>
      <c r="E136" s="5" t="s">
        <v>44</v>
      </c>
      <c r="F136" s="69">
        <v>12</v>
      </c>
      <c r="G136" s="69">
        <v>20</v>
      </c>
      <c r="H136" s="81">
        <v>240</v>
      </c>
      <c r="I136" s="71" t="s">
        <v>24</v>
      </c>
      <c r="J136" s="70" t="str">
        <f>_xlfn.DISPIMG("ID_65042C298B8D4E4BAFDD2224B674F5FD",1)</f>
        <v>=DISPIMG("ID_65042C298B8D4E4BAFDD2224B674F5FD",1)</v>
      </c>
      <c r="K136" s="126"/>
      <c r="L136" s="103"/>
      <c r="M136" s="131"/>
      <c r="Q136" s="8"/>
      <c r="R136" s="8"/>
      <c r="S136" s="8"/>
    </row>
    <row r="137" s="12" customFormat="1" ht="121" customHeight="1" spans="1:19">
      <c r="A137" s="100"/>
      <c r="B137" s="101">
        <v>46106</v>
      </c>
      <c r="C137" s="101"/>
      <c r="D137" s="106"/>
      <c r="E137" s="69" t="s">
        <v>41</v>
      </c>
      <c r="F137" s="69">
        <v>12</v>
      </c>
      <c r="G137" s="69">
        <v>20</v>
      </c>
      <c r="H137" s="81">
        <v>240</v>
      </c>
      <c r="I137" s="71" t="s">
        <v>24</v>
      </c>
      <c r="J137" s="12" t="str">
        <f>_xlfn.DISPIMG("ID_876F4328CE6B4BAB832660E8E72E2C49",1)</f>
        <v>=DISPIMG("ID_876F4328CE6B4BAB832660E8E72E2C49",1)</v>
      </c>
      <c r="L137" s="103"/>
      <c r="M137" s="131"/>
      <c r="P137" s="131"/>
      <c r="Q137" s="8"/>
      <c r="R137" s="8"/>
      <c r="S137" s="8"/>
    </row>
    <row r="138" s="9" customFormat="1" ht="64.8" spans="1:19">
      <c r="A138" s="132" t="s">
        <v>230</v>
      </c>
      <c r="B138" s="7">
        <v>46129</v>
      </c>
      <c r="C138" s="7"/>
      <c r="D138" s="115" t="s">
        <v>187</v>
      </c>
      <c r="E138" s="36" t="s">
        <v>44</v>
      </c>
      <c r="F138" s="9">
        <v>12</v>
      </c>
      <c r="G138" s="9">
        <v>30</v>
      </c>
      <c r="H138" s="58">
        <v>360</v>
      </c>
      <c r="I138" s="63" t="s">
        <v>24</v>
      </c>
      <c r="J138" s="59" t="str">
        <f>_xlfn.DISPIMG("ID_65042C298B8D4E4BAFDD2224B674F5FD",1)</f>
        <v>=DISPIMG("ID_65042C298B8D4E4BAFDD2224B674F5FD",1)</v>
      </c>
      <c r="K138" s="62" t="s">
        <v>231</v>
      </c>
      <c r="L138" s="8"/>
      <c r="M138" s="6" t="str">
        <f>_xlfn.DISPIMG("ID_EC03389A7CEA47C4A6279E3794E259D3",1)</f>
        <v>=DISPIMG("ID_EC03389A7CEA47C4A6279E3794E259D3",1)</v>
      </c>
      <c r="N138" s="6"/>
      <c r="O138" s="6"/>
      <c r="P138" s="6" t="str">
        <f>_xlfn.DISPIMG("ID_67D1DB1DBBC5425581536AD443941B17",1)</f>
        <v>=DISPIMG("ID_67D1DB1DBBC5425581536AD443941B17",1)</v>
      </c>
    </row>
    <row r="139" s="9" customFormat="1" ht="48.75" spans="1:19">
      <c r="A139" s="132" t="s">
        <v>230</v>
      </c>
      <c r="B139" s="7">
        <v>46129</v>
      </c>
      <c r="C139" s="7"/>
      <c r="D139" s="115" t="s">
        <v>187</v>
      </c>
      <c r="E139" s="9" t="s">
        <v>41</v>
      </c>
      <c r="F139" s="9">
        <v>12</v>
      </c>
      <c r="G139" s="9">
        <v>30</v>
      </c>
      <c r="H139" s="58">
        <v>360</v>
      </c>
      <c r="I139" s="63" t="s">
        <v>24</v>
      </c>
      <c r="J139" s="9" t="str">
        <f>_xlfn.DISPIMG("ID_876F4328CE6B4BAB832660E8E72E2C49",1)</f>
        <v>=DISPIMG("ID_876F4328CE6B4BAB832660E8E72E2C49",1)</v>
      </c>
      <c r="K139" s="62" t="s">
        <v>231</v>
      </c>
      <c r="L139" s="8"/>
      <c r="M139" s="6"/>
      <c r="N139" s="6"/>
      <c r="O139" s="6"/>
      <c r="P139" s="6"/>
    </row>
    <row r="140" s="9" customFormat="1" ht="130.5" spans="1:19">
      <c r="A140" s="132" t="s">
        <v>230</v>
      </c>
      <c r="B140" s="7">
        <v>46129</v>
      </c>
      <c r="C140" s="7"/>
      <c r="D140" s="115" t="s">
        <v>187</v>
      </c>
      <c r="E140" s="36" t="s">
        <v>49</v>
      </c>
      <c r="F140" s="9">
        <v>12</v>
      </c>
      <c r="G140" s="9">
        <v>20</v>
      </c>
      <c r="H140" s="58">
        <v>240</v>
      </c>
      <c r="I140" s="63" t="s">
        <v>24</v>
      </c>
      <c r="J140" s="9" t="str">
        <f>_xlfn.DISPIMG("ID_B79C8D2B3F4343C299A1C1E2AB51C7F8",1)</f>
        <v>=DISPIMG("ID_B79C8D2B3F4343C299A1C1E2AB51C7F8",1)</v>
      </c>
      <c r="K140" s="62" t="s">
        <v>231</v>
      </c>
      <c r="L140" s="8"/>
      <c r="M140" s="6"/>
      <c r="N140" s="6"/>
      <c r="O140" s="6"/>
      <c r="P140" s="6"/>
    </row>
    <row r="141" s="9" customFormat="1" ht="74" spans="1:19">
      <c r="A141" s="132" t="s">
        <v>230</v>
      </c>
      <c r="B141" s="7">
        <v>46129</v>
      </c>
      <c r="C141" s="7"/>
      <c r="D141" s="115" t="s">
        <v>187</v>
      </c>
      <c r="E141" s="9" t="s">
        <v>132</v>
      </c>
      <c r="F141" s="9">
        <v>12</v>
      </c>
      <c r="G141" s="9">
        <v>20</v>
      </c>
      <c r="H141" s="58">
        <v>240</v>
      </c>
      <c r="I141" s="63" t="s">
        <v>24</v>
      </c>
      <c r="J141" s="57" t="str">
        <f>_xlfn.DISPIMG("ID_2F9F93DFFFD8408982562AEA4EDB5CC4",1)</f>
        <v>=DISPIMG("ID_2F9F93DFFFD8408982562AEA4EDB5CC4",1)</v>
      </c>
      <c r="K141" s="62" t="s">
        <v>231</v>
      </c>
      <c r="L141" s="8"/>
      <c r="M141" s="6"/>
      <c r="N141" s="6"/>
      <c r="O141" s="6"/>
      <c r="P141" s="6"/>
    </row>
    <row r="142" s="9" customFormat="1" ht="64.8" spans="1:19">
      <c r="A142" s="6" t="s">
        <v>232</v>
      </c>
      <c r="B142" s="7"/>
      <c r="C142" s="7"/>
      <c r="D142" s="104" t="s">
        <v>233</v>
      </c>
      <c r="E142" s="36" t="s">
        <v>44</v>
      </c>
      <c r="F142" s="9">
        <v>12</v>
      </c>
      <c r="G142" s="9">
        <v>2</v>
      </c>
      <c r="H142" s="58">
        <v>24</v>
      </c>
      <c r="I142" s="63" t="s">
        <v>24</v>
      </c>
      <c r="J142" s="59" t="str">
        <f>_xlfn.DISPIMG("ID_65042C298B8D4E4BAFDD2224B674F5FD",1)</f>
        <v>=DISPIMG("ID_65042C298B8D4E4BAFDD2224B674F5FD",1)</v>
      </c>
      <c r="K142" s="62"/>
      <c r="L142" s="8"/>
    </row>
    <row r="143" s="9" customFormat="1" ht="49.5" spans="1:19">
      <c r="A143" s="6"/>
      <c r="B143" s="7"/>
      <c r="C143" s="7"/>
      <c r="D143" s="104"/>
      <c r="E143" s="9" t="s">
        <v>41</v>
      </c>
      <c r="F143" s="9">
        <v>12</v>
      </c>
      <c r="G143" s="9">
        <v>2</v>
      </c>
      <c r="H143" s="58">
        <v>24</v>
      </c>
      <c r="I143" s="63" t="s">
        <v>24</v>
      </c>
      <c r="J143" s="9" t="str">
        <f t="shared" ref="J143:J148" si="4">_xlfn.DISPIMG("ID_876F4328CE6B4BAB832660E8E72E2C49",1)</f>
        <v>=DISPIMG("ID_876F4328CE6B4BAB832660E8E72E2C49",1)</v>
      </c>
      <c r="L143" s="8"/>
      <c r="M143" s="9" t="s">
        <v>234</v>
      </c>
    </row>
    <row r="144" s="9" customFormat="1" ht="131.25" spans="1:19">
      <c r="A144" s="6" t="s">
        <v>235</v>
      </c>
      <c r="B144" s="7">
        <v>46129</v>
      </c>
      <c r="C144" s="7"/>
      <c r="D144" s="104" t="s">
        <v>236</v>
      </c>
      <c r="E144" s="36" t="s">
        <v>49</v>
      </c>
      <c r="F144" s="9">
        <v>12</v>
      </c>
      <c r="G144" s="9">
        <v>20</v>
      </c>
      <c r="H144" s="58">
        <v>240</v>
      </c>
      <c r="I144" s="63" t="s">
        <v>24</v>
      </c>
      <c r="J144" s="9" t="str">
        <f>_xlfn.DISPIMG("ID_B79C8D2B3F4343C299A1C1E2AB51C7F8",1)</f>
        <v>=DISPIMG("ID_B79C8D2B3F4343C299A1C1E2AB51C7F8",1)</v>
      </c>
      <c r="K144" s="105">
        <v>46125</v>
      </c>
      <c r="L144" s="8"/>
    </row>
    <row r="145" s="9" customFormat="1" ht="48.75" spans="1:19">
      <c r="A145" s="6"/>
      <c r="B145" s="7">
        <v>46129</v>
      </c>
      <c r="C145" s="7"/>
      <c r="D145" s="104"/>
      <c r="E145" s="9" t="s">
        <v>41</v>
      </c>
      <c r="F145" s="9">
        <v>12</v>
      </c>
      <c r="G145" s="9">
        <v>30</v>
      </c>
      <c r="H145" s="58">
        <v>360</v>
      </c>
      <c r="I145" s="63" t="s">
        <v>24</v>
      </c>
      <c r="J145" s="9" t="str">
        <f t="shared" si="4"/>
        <v>=DISPIMG("ID_876F4328CE6B4BAB832660E8E72E2C49",1)</v>
      </c>
      <c r="K145" s="105">
        <v>46125</v>
      </c>
      <c r="L145" s="8"/>
    </row>
    <row r="146" s="12" customFormat="1" ht="48.75" spans="1:19">
      <c r="A146" s="100" t="s">
        <v>237</v>
      </c>
      <c r="B146" s="101">
        <v>46109</v>
      </c>
      <c r="C146" s="101"/>
      <c r="D146" s="106" t="s">
        <v>185</v>
      </c>
      <c r="E146" s="5" t="s">
        <v>44</v>
      </c>
      <c r="F146" s="69">
        <v>12</v>
      </c>
      <c r="G146" s="69">
        <v>2</v>
      </c>
      <c r="H146" s="81">
        <v>24</v>
      </c>
      <c r="I146" s="71" t="s">
        <v>24</v>
      </c>
      <c r="J146" s="12" t="str">
        <f t="shared" si="4"/>
        <v>=DISPIMG("ID_876F4328CE6B4BAB832660E8E72E2C49",1)</v>
      </c>
      <c r="L146" s="103"/>
      <c r="M146" s="69"/>
      <c r="Q146" s="8"/>
      <c r="R146" s="8"/>
      <c r="S146" s="8"/>
    </row>
    <row r="147" s="12" customFormat="1" ht="91" customHeight="1" spans="1:19">
      <c r="A147" s="100"/>
      <c r="B147" s="101">
        <v>46109</v>
      </c>
      <c r="C147" s="101"/>
      <c r="D147" s="106"/>
      <c r="E147" s="69" t="s">
        <v>41</v>
      </c>
      <c r="F147" s="69">
        <v>12</v>
      </c>
      <c r="G147" s="69">
        <v>2</v>
      </c>
      <c r="H147" s="81">
        <v>24</v>
      </c>
      <c r="I147" s="71" t="s">
        <v>24</v>
      </c>
      <c r="J147" s="12" t="str">
        <f t="shared" si="4"/>
        <v>=DISPIMG("ID_876F4328CE6B4BAB832660E8E72E2C49",1)</v>
      </c>
      <c r="L147" s="103"/>
      <c r="M147" s="69"/>
      <c r="Q147" s="8"/>
      <c r="R147" s="8"/>
      <c r="S147" s="8"/>
    </row>
    <row r="148" s="9" customFormat="1" ht="91" customHeight="1" spans="1:19">
      <c r="A148" s="6" t="s">
        <v>238</v>
      </c>
      <c r="B148" s="7">
        <v>46124</v>
      </c>
      <c r="C148" s="7"/>
      <c r="D148" s="104" t="s">
        <v>239</v>
      </c>
      <c r="E148" s="9" t="s">
        <v>41</v>
      </c>
      <c r="F148" s="9">
        <v>12</v>
      </c>
      <c r="G148" s="9">
        <v>20</v>
      </c>
      <c r="H148" s="58">
        <v>24</v>
      </c>
      <c r="I148" s="63" t="s">
        <v>24</v>
      </c>
      <c r="J148" s="9" t="str">
        <f t="shared" si="4"/>
        <v>=DISPIMG("ID_876F4328CE6B4BAB832660E8E72E2C49",1)</v>
      </c>
      <c r="L148" s="8" t="s">
        <v>240</v>
      </c>
    </row>
    <row r="149" s="12" customFormat="1" ht="91" customHeight="1" spans="1:19">
      <c r="A149" s="130" t="s">
        <v>241</v>
      </c>
      <c r="B149" s="101">
        <v>46120</v>
      </c>
      <c r="C149" s="101"/>
      <c r="D149" s="108" t="s">
        <v>106</v>
      </c>
      <c r="E149" s="69" t="s">
        <v>41</v>
      </c>
      <c r="F149" s="69">
        <v>12</v>
      </c>
      <c r="G149" s="69">
        <v>10</v>
      </c>
      <c r="H149" s="81">
        <f>F149*G149</f>
        <v>120</v>
      </c>
      <c r="I149" s="71" t="s">
        <v>24</v>
      </c>
      <c r="L149" s="103" t="str">
        <f>_xlfn.DISPIMG("ID_AA26FC7563DA4149827A63EB77ADA23D",1)</f>
        <v>=DISPIMG("ID_AA26FC7563DA4149827A63EB77ADA23D",1)</v>
      </c>
      <c r="M149" s="69"/>
      <c r="Q149" s="8"/>
      <c r="R149" s="8"/>
      <c r="S149" s="8"/>
    </row>
    <row r="150" s="12" customFormat="1" ht="91" customHeight="1" spans="1:19">
      <c r="A150" s="130" t="s">
        <v>241</v>
      </c>
      <c r="B150" s="101">
        <v>46120</v>
      </c>
      <c r="C150" s="101"/>
      <c r="D150" s="108" t="s">
        <v>106</v>
      </c>
      <c r="E150" s="69" t="s">
        <v>76</v>
      </c>
      <c r="F150" s="69">
        <v>12</v>
      </c>
      <c r="G150" s="69">
        <v>10</v>
      </c>
      <c r="H150" s="81">
        <f>F150*G150</f>
        <v>120</v>
      </c>
      <c r="I150" s="71" t="s">
        <v>24</v>
      </c>
      <c r="L150" s="12" t="str">
        <f>_xlfn.DISPIMG("ID_BA0C1C0375FE4414A9575E946F7E94B7",1)</f>
        <v>=DISPIMG("ID_BA0C1C0375FE4414A9575E946F7E94B7",1)</v>
      </c>
      <c r="M150" s="69"/>
      <c r="Q150" s="8"/>
      <c r="R150" s="8"/>
      <c r="S150" s="8"/>
    </row>
    <row r="151" s="12" customFormat="1" ht="67.5" spans="1:19">
      <c r="A151" s="100" t="s">
        <v>242</v>
      </c>
      <c r="B151" s="101">
        <v>46112</v>
      </c>
      <c r="C151" s="101"/>
      <c r="D151" s="106" t="s">
        <v>185</v>
      </c>
      <c r="E151" s="69" t="s">
        <v>221</v>
      </c>
      <c r="F151" s="69">
        <v>12</v>
      </c>
      <c r="G151" s="69">
        <v>10</v>
      </c>
      <c r="H151" s="81">
        <v>120</v>
      </c>
      <c r="I151" s="71" t="s">
        <v>24</v>
      </c>
      <c r="J151" s="70" t="str">
        <f>_xlfn.DISPIMG("ID_4EC03F2B6C6C42D8B03691D1633BADD5",1)</f>
        <v>=DISPIMG("ID_4EC03F2B6C6C42D8B03691D1633BADD5",1)</v>
      </c>
      <c r="K151" s="126"/>
      <c r="L151" s="103"/>
      <c r="M151" s="69"/>
      <c r="Q151" s="8"/>
      <c r="R151" s="8"/>
      <c r="S151" s="8"/>
    </row>
    <row r="152" s="12" customFormat="1" ht="48.75" spans="1:19">
      <c r="A152" s="100" t="s">
        <v>243</v>
      </c>
      <c r="B152" s="101">
        <v>46129</v>
      </c>
      <c r="C152" s="101"/>
      <c r="D152" s="106" t="s">
        <v>244</v>
      </c>
      <c r="E152" s="69" t="s">
        <v>41</v>
      </c>
      <c r="F152" s="69">
        <v>12</v>
      </c>
      <c r="G152" s="69">
        <v>30</v>
      </c>
      <c r="H152" s="81">
        <v>120</v>
      </c>
      <c r="I152" s="71" t="s">
        <v>24</v>
      </c>
      <c r="J152" s="9" t="str">
        <f>_xlfn.DISPIMG("ID_0CFFD05628514B92B506BB23F9721ABA",1)</f>
        <v>=DISPIMG("ID_0CFFD05628514B92B506BB23F9721ABA",1)</v>
      </c>
      <c r="K152" s="126"/>
      <c r="L152" s="103"/>
      <c r="M152" s="69"/>
      <c r="Q152" s="8"/>
      <c r="R152" s="8"/>
      <c r="S152" s="8"/>
    </row>
    <row r="153" s="12" customFormat="1" spans="1:19">
      <c r="A153" s="100" t="s">
        <v>245</v>
      </c>
      <c r="B153" s="101">
        <v>46114</v>
      </c>
      <c r="C153" s="101"/>
      <c r="D153" s="106" t="s">
        <v>185</v>
      </c>
      <c r="E153" s="5" t="s">
        <v>44</v>
      </c>
      <c r="F153" s="69">
        <v>12</v>
      </c>
      <c r="G153" s="69">
        <v>100</v>
      </c>
      <c r="H153" s="81">
        <v>1200</v>
      </c>
      <c r="I153" s="71" t="s">
        <v>24</v>
      </c>
      <c r="J153" s="5"/>
      <c r="K153" s="5"/>
      <c r="M153" s="69"/>
      <c r="Q153" s="8"/>
      <c r="R153" s="8"/>
      <c r="S153" s="8"/>
    </row>
    <row r="154" s="12" customFormat="1" spans="1:19">
      <c r="A154" s="100"/>
      <c r="B154" s="101">
        <v>46114</v>
      </c>
      <c r="C154" s="101"/>
      <c r="D154" s="106"/>
      <c r="E154" s="69" t="s">
        <v>41</v>
      </c>
      <c r="F154" s="69">
        <v>12</v>
      </c>
      <c r="G154" s="69">
        <v>70</v>
      </c>
      <c r="H154" s="81">
        <v>840</v>
      </c>
      <c r="I154" s="71" t="s">
        <v>24</v>
      </c>
      <c r="J154" s="5"/>
      <c r="K154" s="5"/>
      <c r="M154" s="69"/>
      <c r="Q154" s="8"/>
      <c r="R154" s="8"/>
      <c r="S154" s="8"/>
    </row>
    <row r="155" s="12" customFormat="1" spans="1:19">
      <c r="A155" s="100"/>
      <c r="B155" s="101">
        <v>46114</v>
      </c>
      <c r="C155" s="101"/>
      <c r="D155" s="106"/>
      <c r="E155" s="5" t="s">
        <v>49</v>
      </c>
      <c r="F155" s="69">
        <v>12</v>
      </c>
      <c r="G155" s="69">
        <v>50</v>
      </c>
      <c r="H155" s="81">
        <v>600</v>
      </c>
      <c r="I155" s="71" t="s">
        <v>24</v>
      </c>
      <c r="J155" s="5"/>
      <c r="K155" s="5"/>
      <c r="M155" s="69"/>
      <c r="Q155" s="8"/>
      <c r="R155" s="8"/>
      <c r="S155" s="8"/>
    </row>
    <row r="156" s="12" customFormat="1" spans="1:19">
      <c r="A156" s="100" t="s">
        <v>246</v>
      </c>
      <c r="B156" s="101">
        <v>46114</v>
      </c>
      <c r="C156" s="101"/>
      <c r="D156" s="102" t="s">
        <v>247</v>
      </c>
      <c r="E156" s="5" t="s">
        <v>248</v>
      </c>
      <c r="F156" s="69">
        <v>12</v>
      </c>
      <c r="G156" s="69">
        <v>5</v>
      </c>
      <c r="H156" s="81">
        <v>60</v>
      </c>
      <c r="I156" s="71" t="s">
        <v>24</v>
      </c>
      <c r="J156" s="5"/>
      <c r="K156" s="5"/>
      <c r="M156" s="69"/>
      <c r="Q156" s="8"/>
      <c r="R156" s="8"/>
      <c r="S156" s="8"/>
    </row>
    <row r="157" ht="49.5" spans="1:19">
      <c r="A157" s="6" t="s">
        <v>249</v>
      </c>
      <c r="D157" s="104" t="s">
        <v>173</v>
      </c>
      <c r="E157" s="9" t="s">
        <v>41</v>
      </c>
      <c r="F157" s="9">
        <v>12</v>
      </c>
      <c r="G157" s="9">
        <v>50</v>
      </c>
      <c r="H157" s="58">
        <v>600</v>
      </c>
      <c r="I157" s="63" t="s">
        <v>24</v>
      </c>
      <c r="J157" s="9" t="str">
        <f t="shared" ref="J157:J161" si="5">_xlfn.DISPIMG("ID_0CFFD05628514B92B506BB23F9721ABA",1)</f>
        <v>=DISPIMG("ID_0CFFD05628514B92B506BB23F9721ABA",1)</v>
      </c>
      <c r="L157" s="104" t="s">
        <v>174</v>
      </c>
    </row>
    <row r="158" ht="62.25" spans="1:19">
      <c r="D158" s="104"/>
      <c r="E158" s="57" t="s">
        <v>89</v>
      </c>
      <c r="F158" s="9">
        <v>12</v>
      </c>
      <c r="G158" s="9">
        <v>200</v>
      </c>
      <c r="H158" s="58">
        <v>2400</v>
      </c>
      <c r="I158" s="63" t="s">
        <v>24</v>
      </c>
      <c r="J158" s="9" t="str">
        <f>_xlfn.DISPIMG("ID_C7743C77966D4DDF8925AB9C9EF3DFBA",1)</f>
        <v>=DISPIMG("ID_C7743C77966D4DDF8925AB9C9EF3DFBA",1)</v>
      </c>
      <c r="L158" s="104"/>
    </row>
    <row r="159" ht="49.5" spans="1:19">
      <c r="A159" s="6" t="s">
        <v>250</v>
      </c>
      <c r="D159" s="8" t="s">
        <v>239</v>
      </c>
      <c r="E159" s="9" t="s">
        <v>41</v>
      </c>
      <c r="F159" s="9">
        <v>12</v>
      </c>
      <c r="G159" s="9">
        <v>20</v>
      </c>
      <c r="H159" s="58">
        <v>240</v>
      </c>
      <c r="I159" s="63" t="s">
        <v>24</v>
      </c>
      <c r="J159" s="9" t="str">
        <f t="shared" si="5"/>
        <v>=DISPIMG("ID_0CFFD05628514B92B506BB23F9721ABA",1)</v>
      </c>
      <c r="L159" s="8" t="s">
        <v>251</v>
      </c>
    </row>
    <row r="160" ht="409.5" spans="1:19">
      <c r="A160" s="6" t="s">
        <v>252</v>
      </c>
      <c r="B160" s="7">
        <v>46134</v>
      </c>
      <c r="D160" s="8" t="s">
        <v>70</v>
      </c>
      <c r="E160" s="9" t="s">
        <v>41</v>
      </c>
      <c r="F160" s="9">
        <v>12</v>
      </c>
      <c r="G160" s="9">
        <v>80</v>
      </c>
      <c r="H160" s="58">
        <v>960</v>
      </c>
      <c r="I160" s="63" t="s">
        <v>24</v>
      </c>
      <c r="J160" s="9" t="str">
        <f t="shared" si="5"/>
        <v>=DISPIMG("ID_0CFFD05628514B92B506BB23F9721ABA",1)</v>
      </c>
      <c r="K160" s="105" t="s">
        <v>253</v>
      </c>
      <c r="L160" s="8" t="s">
        <v>254</v>
      </c>
      <c r="M160" s="9" t="str">
        <f>_xlfn.DISPIMG("ID_2B75B9DD8E4547069FED201B9DA6BF1D",1)</f>
        <v>=DISPIMG("ID_2B75B9DD8E4547069FED201B9DA6BF1D",1)</v>
      </c>
      <c r="R160" s="8" t="s">
        <v>255</v>
      </c>
    </row>
    <row r="161" ht="49.5" spans="1:19">
      <c r="A161" s="6" t="s">
        <v>256</v>
      </c>
      <c r="D161" s="8" t="s">
        <v>244</v>
      </c>
      <c r="E161" s="9" t="s">
        <v>41</v>
      </c>
      <c r="F161" s="9">
        <v>12</v>
      </c>
      <c r="G161" s="9">
        <v>30</v>
      </c>
      <c r="H161" s="58">
        <v>360</v>
      </c>
      <c r="I161" s="63" t="s">
        <v>24</v>
      </c>
      <c r="J161" s="9" t="str">
        <f t="shared" si="5"/>
        <v>=DISPIMG("ID_0CFFD05628514B92B506BB23F9721ABA",1)</v>
      </c>
      <c r="L161" s="8" t="s">
        <v>257</v>
      </c>
    </row>
    <row r="162" ht="141.7" spans="1:19">
      <c r="A162" s="6" t="s">
        <v>258</v>
      </c>
      <c r="B162" s="7">
        <v>46152</v>
      </c>
      <c r="D162" s="8" t="s">
        <v>30</v>
      </c>
      <c r="E162" s="36" t="s">
        <v>248</v>
      </c>
      <c r="F162" s="9">
        <v>12</v>
      </c>
      <c r="G162" s="9">
        <v>30</v>
      </c>
      <c r="H162" s="58">
        <v>360</v>
      </c>
      <c r="I162" s="63" t="s">
        <v>24</v>
      </c>
      <c r="J162" s="9" t="str">
        <f>_xlfn.DISPIMG("ID_50EA01EB891946C89A197CDBB3581309",1)</f>
        <v>=DISPIMG("ID_50EA01EB891946C89A197CDBB3581309",1)</v>
      </c>
      <c r="K162" s="105">
        <v>46132</v>
      </c>
      <c r="M162" s="9" t="str">
        <f>_xlfn.DISPIMG("ID_46C6F07B60524A8E8D2E17A3CD515AED",1)</f>
        <v>=DISPIMG("ID_46C6F07B60524A8E8D2E17A3CD515AED",1)</v>
      </c>
    </row>
    <row r="163" s="10" customFormat="1" ht="183" spans="1:19">
      <c r="A163" s="133" t="s">
        <v>259</v>
      </c>
      <c r="B163" s="73">
        <v>46148</v>
      </c>
      <c r="C163" s="73"/>
      <c r="D163" s="134" t="s">
        <v>260</v>
      </c>
      <c r="E163" s="39" t="s">
        <v>261</v>
      </c>
      <c r="F163" s="39">
        <v>12</v>
      </c>
      <c r="G163" s="39">
        <v>50</v>
      </c>
      <c r="H163" s="11">
        <v>600</v>
      </c>
      <c r="I163" s="11" t="s">
        <v>24</v>
      </c>
      <c r="J163" s="39" t="str">
        <f>_xlfn.DISPIMG("ID_DBFDF3F610374E56A5BE0324B5B939BB",1)</f>
        <v>=DISPIMG("ID_DBFDF3F610374E56A5BE0324B5B939BB",1)</v>
      </c>
      <c r="K163" s="135">
        <v>46126</v>
      </c>
      <c r="L163" s="113"/>
      <c r="M163" s="39" t="str">
        <f>_xlfn.DISPIMG("ID_FD51AE372E9A41E69FA610F652B886B3",1)</f>
        <v>=DISPIMG("ID_FD51AE372E9A41E69FA610F652B886B3",1)</v>
      </c>
      <c r="P163" s="136" t="str">
        <f>_xlfn.DISPIMG("ID_4D0C97B863444D5995E6DAD172F7B2C4",1)</f>
        <v>=DISPIMG("ID_4D0C97B863444D5995E6DAD172F7B2C4",1)</v>
      </c>
      <c r="Q163" s="137"/>
      <c r="R163" s="137"/>
      <c r="S163" s="137"/>
    </row>
    <row r="164" s="10" customFormat="1" ht="124.5" spans="1:19">
      <c r="A164" s="133" t="s">
        <v>259</v>
      </c>
      <c r="B164" s="73">
        <v>46137</v>
      </c>
      <c r="C164" s="73"/>
      <c r="D164" s="134" t="s">
        <v>260</v>
      </c>
      <c r="E164" s="39" t="s">
        <v>262</v>
      </c>
      <c r="F164" s="39">
        <v>12</v>
      </c>
      <c r="G164" s="39">
        <v>30</v>
      </c>
      <c r="H164" s="11">
        <v>600</v>
      </c>
      <c r="I164" s="11" t="s">
        <v>24</v>
      </c>
      <c r="J164" s="39" t="str">
        <f>_xlfn.DISPIMG("ID_05B7951C7EE84BB0924D5B89933AA04C",1)</f>
        <v>=DISPIMG("ID_05B7951C7EE84BB0924D5B89933AA04C",1)</v>
      </c>
      <c r="K164" s="135">
        <v>46126</v>
      </c>
      <c r="L164" s="113"/>
      <c r="M164" s="39" t="str">
        <f>_xlfn.DISPIMG("ID_C6E41FD045D94187BEB651D5EBFB07F5",1)</f>
        <v>=DISPIMG("ID_C6E41FD045D94187BEB651D5EBFB07F5",1)</v>
      </c>
      <c r="P164" s="136"/>
      <c r="Q164" s="137"/>
      <c r="R164" s="137"/>
      <c r="S164" s="137"/>
    </row>
    <row r="165" s="10" customFormat="1" ht="124.9" spans="1:19">
      <c r="A165" s="133" t="s">
        <v>263</v>
      </c>
      <c r="B165" s="73">
        <v>46141</v>
      </c>
      <c r="C165" s="73"/>
      <c r="D165" s="134" t="s">
        <v>264</v>
      </c>
      <c r="E165" s="39" t="s">
        <v>261</v>
      </c>
      <c r="F165" s="39">
        <v>12</v>
      </c>
      <c r="G165" s="39">
        <v>100</v>
      </c>
      <c r="H165" s="11">
        <v>1200</v>
      </c>
      <c r="I165" s="11" t="s">
        <v>24</v>
      </c>
      <c r="J165" s="39" t="str">
        <f>_xlfn.DISPIMG("ID_DBFDF3F610374E56A5BE0324B5B939BB",1)</f>
        <v>=DISPIMG("ID_DBFDF3F610374E56A5BE0324B5B939BB",1)</v>
      </c>
      <c r="K165" s="135">
        <v>46141</v>
      </c>
      <c r="L165" s="134"/>
      <c r="M165" s="133" t="str">
        <f>_xlfn.DISPIMG("ID_EB250A9C0FAF49CF8D403E00F7D3F4F8",1)</f>
        <v>=DISPIMG("ID_EB250A9C0FAF49CF8D403E00F7D3F4F8",1)</v>
      </c>
      <c r="N165" s="133"/>
      <c r="O165" s="133"/>
      <c r="P165" s="136"/>
      <c r="Q165" s="137"/>
      <c r="R165" s="137"/>
      <c r="S165" s="137"/>
    </row>
    <row r="166" s="10" customFormat="1" ht="123.5" spans="1:19">
      <c r="A166" s="133" t="s">
        <v>263</v>
      </c>
      <c r="B166" s="73">
        <v>46141</v>
      </c>
      <c r="C166" s="73"/>
      <c r="D166" s="134" t="s">
        <v>264</v>
      </c>
      <c r="E166" s="39" t="s">
        <v>265</v>
      </c>
      <c r="F166" s="39">
        <v>12</v>
      </c>
      <c r="G166" s="39">
        <v>100</v>
      </c>
      <c r="H166" s="11">
        <v>1200</v>
      </c>
      <c r="I166" s="11" t="s">
        <v>24</v>
      </c>
      <c r="J166" s="39" t="str">
        <f>_xlfn.DISPIMG("ID_3543B9942F364D549B4C57451DE9CF17",1)</f>
        <v>=DISPIMG("ID_3543B9942F364D549B4C57451DE9CF17",1)</v>
      </c>
      <c r="K166" s="135">
        <v>46141</v>
      </c>
      <c r="L166" s="134"/>
      <c r="M166" s="133"/>
      <c r="N166" s="133"/>
      <c r="O166" s="133"/>
      <c r="P166" s="136"/>
      <c r="Q166" s="137"/>
      <c r="R166" s="137"/>
      <c r="S166" s="137"/>
    </row>
    <row r="167" s="10" customFormat="1" ht="65.25" spans="1:19">
      <c r="A167" s="133" t="s">
        <v>263</v>
      </c>
      <c r="B167" s="138">
        <v>46141</v>
      </c>
      <c r="C167" s="138"/>
      <c r="D167" s="134" t="s">
        <v>264</v>
      </c>
      <c r="E167" s="10" t="s">
        <v>266</v>
      </c>
      <c r="F167" s="10">
        <v>12</v>
      </c>
      <c r="G167" s="10">
        <v>100</v>
      </c>
      <c r="H167" s="11">
        <v>1200</v>
      </c>
      <c r="I167" s="11" t="s">
        <v>24</v>
      </c>
      <c r="J167" s="10" t="str">
        <f>_xlfn.DISPIMG("ID_6BA7CB56681C4D8FA04CA7133B855EB4",1)</f>
        <v>=DISPIMG("ID_6BA7CB56681C4D8FA04CA7133B855EB4",1)</v>
      </c>
      <c r="K167" s="135">
        <v>46141</v>
      </c>
      <c r="L167" s="134"/>
      <c r="M167" s="133"/>
      <c r="N167" s="133"/>
      <c r="O167" s="133"/>
      <c r="P167" s="136"/>
      <c r="Q167" s="137"/>
      <c r="R167" s="137"/>
      <c r="S167" s="137"/>
    </row>
    <row r="168" s="10" customFormat="1" ht="67.5" spans="1:19">
      <c r="A168" s="133" t="s">
        <v>263</v>
      </c>
      <c r="B168" s="138">
        <v>46141</v>
      </c>
      <c r="C168" s="138"/>
      <c r="D168" s="134" t="s">
        <v>264</v>
      </c>
      <c r="E168" s="10" t="s">
        <v>76</v>
      </c>
      <c r="F168" s="10">
        <v>12</v>
      </c>
      <c r="G168" s="10">
        <v>100</v>
      </c>
      <c r="H168" s="11">
        <v>1200</v>
      </c>
      <c r="I168" s="11" t="s">
        <v>24</v>
      </c>
      <c r="J168" s="10" t="str">
        <f>_xlfn.DISPIMG("ID_135C9235078044D580CF379B2E357FA5",1)</f>
        <v>=DISPIMG("ID_135C9235078044D580CF379B2E357FA5",1)</v>
      </c>
      <c r="K168" s="135">
        <v>46141</v>
      </c>
      <c r="L168" s="134"/>
      <c r="M168" s="133"/>
      <c r="N168" s="133"/>
      <c r="O168" s="133"/>
      <c r="P168" s="136"/>
      <c r="Q168" s="137"/>
      <c r="R168" s="137"/>
      <c r="S168" s="137"/>
    </row>
    <row r="169" s="10" customFormat="1" ht="64.5" spans="1:19">
      <c r="A169" s="133" t="s">
        <v>263</v>
      </c>
      <c r="B169" s="138">
        <v>46151</v>
      </c>
      <c r="C169" s="138"/>
      <c r="D169" s="134" t="s">
        <v>264</v>
      </c>
      <c r="E169" s="10" t="s">
        <v>77</v>
      </c>
      <c r="F169" s="10">
        <v>12</v>
      </c>
      <c r="G169" s="10">
        <v>100</v>
      </c>
      <c r="H169" s="11">
        <v>1200</v>
      </c>
      <c r="I169" s="11" t="s">
        <v>24</v>
      </c>
      <c r="J169" s="10" t="str">
        <f>_xlfn.DISPIMG("ID_DE685D3D1FEF4D7D8272440A0D6F321F",1)</f>
        <v>=DISPIMG("ID_DE685D3D1FEF4D7D8272440A0D6F321F",1)</v>
      </c>
      <c r="K169" s="135">
        <v>46141</v>
      </c>
      <c r="L169" s="134"/>
      <c r="M169" s="133"/>
      <c r="N169" s="133"/>
      <c r="O169" s="133"/>
      <c r="P169" s="136"/>
      <c r="Q169" s="137"/>
      <c r="R169" s="137"/>
      <c r="S169" s="137"/>
    </row>
    <row r="170" s="10" customFormat="1" ht="66.75" spans="1:19">
      <c r="A170" s="133" t="s">
        <v>263</v>
      </c>
      <c r="B170" s="73">
        <v>46141</v>
      </c>
      <c r="C170" s="73"/>
      <c r="D170" s="134" t="s">
        <v>264</v>
      </c>
      <c r="E170" s="39" t="s">
        <v>262</v>
      </c>
      <c r="F170" s="39">
        <v>12</v>
      </c>
      <c r="G170" s="39">
        <v>50</v>
      </c>
      <c r="H170" s="11">
        <v>1200</v>
      </c>
      <c r="I170" s="11" t="s">
        <v>24</v>
      </c>
      <c r="J170" s="39" t="str">
        <f>_xlfn.DISPIMG("ID_05B7951C7EE84BB0924D5B89933AA04C",1)</f>
        <v>=DISPIMG("ID_05B7951C7EE84BB0924D5B89933AA04C",1)</v>
      </c>
      <c r="K170" s="135"/>
      <c r="L170" s="139"/>
      <c r="M170" s="74"/>
      <c r="N170" s="74"/>
      <c r="O170" s="74"/>
      <c r="P170" s="136"/>
      <c r="Q170" s="137"/>
      <c r="R170" s="137"/>
      <c r="S170" s="137"/>
    </row>
    <row r="171" s="10" customFormat="1" ht="120.1" spans="1:19">
      <c r="A171" s="133" t="s">
        <v>263</v>
      </c>
      <c r="B171" s="73">
        <v>46141</v>
      </c>
      <c r="C171" s="73"/>
      <c r="D171" s="134" t="s">
        <v>264</v>
      </c>
      <c r="E171" s="39" t="s">
        <v>262</v>
      </c>
      <c r="F171" s="39">
        <v>12</v>
      </c>
      <c r="G171" s="39">
        <v>50</v>
      </c>
      <c r="H171" s="11">
        <v>1200</v>
      </c>
      <c r="I171" s="11" t="s">
        <v>24</v>
      </c>
      <c r="J171" s="39" t="str">
        <f>_xlfn.DISPIMG("ID_05B7951C7EE84BB0924D5B89933AA04C",1)</f>
        <v>=DISPIMG("ID_05B7951C7EE84BB0924D5B89933AA04C",1)</v>
      </c>
      <c r="K171" s="135"/>
      <c r="L171" s="139"/>
      <c r="M171" s="74"/>
      <c r="N171" s="74"/>
      <c r="O171" s="74"/>
      <c r="P171" s="136"/>
      <c r="Q171" s="137"/>
      <c r="R171" s="137"/>
      <c r="S171" s="137"/>
    </row>
    <row r="172" s="10" customFormat="1" ht="120.15" spans="1:19">
      <c r="A172" s="136" t="s">
        <v>267</v>
      </c>
      <c r="B172" s="138">
        <v>46124</v>
      </c>
      <c r="C172" s="138"/>
      <c r="D172" s="140" t="s">
        <v>268</v>
      </c>
      <c r="E172" s="10" t="s">
        <v>262</v>
      </c>
      <c r="F172" s="10">
        <v>12</v>
      </c>
      <c r="G172" s="10">
        <v>10</v>
      </c>
      <c r="H172" s="11">
        <v>120</v>
      </c>
      <c r="I172" s="11" t="s">
        <v>24</v>
      </c>
      <c r="J172" s="10" t="str">
        <f>_xlfn.DISPIMG("ID_5AB5CB1D2451447280D8A1A78D1D7BB7",1)</f>
        <v>=DISPIMG("ID_5AB5CB1D2451447280D8A1A78D1D7BB7",1)</v>
      </c>
      <c r="L172" s="140" t="s">
        <v>269</v>
      </c>
      <c r="Q172" s="137"/>
      <c r="R172" s="137"/>
      <c r="S172" s="137"/>
    </row>
    <row r="173" s="10" customFormat="1" ht="49.5" spans="1:19">
      <c r="A173" s="136"/>
      <c r="B173" s="138">
        <v>46124</v>
      </c>
      <c r="C173" s="138"/>
      <c r="D173" s="140"/>
      <c r="E173" s="10" t="s">
        <v>261</v>
      </c>
      <c r="F173" s="10">
        <v>12</v>
      </c>
      <c r="G173" s="10">
        <v>10</v>
      </c>
      <c r="H173" s="11">
        <v>120</v>
      </c>
      <c r="I173" s="11" t="s">
        <v>24</v>
      </c>
      <c r="J173" s="10" t="str">
        <f>_xlfn.DISPIMG("ID_80BABFE15A6C44EF8ED8F2E54A094A8B",1)</f>
        <v>=DISPIMG("ID_80BABFE15A6C44EF8ED8F2E54A094A8B",1)</v>
      </c>
      <c r="L173" s="140"/>
      <c r="Q173" s="137"/>
      <c r="R173" s="137"/>
      <c r="S173" s="137"/>
    </row>
    <row r="174" s="10" customFormat="1" ht="67.5" spans="1:19">
      <c r="A174" s="136"/>
      <c r="B174" s="138">
        <v>46124</v>
      </c>
      <c r="C174" s="138"/>
      <c r="D174" s="140"/>
      <c r="E174" s="10" t="s">
        <v>265</v>
      </c>
      <c r="F174" s="10">
        <v>12</v>
      </c>
      <c r="G174" s="10">
        <v>10</v>
      </c>
      <c r="H174" s="11">
        <v>120</v>
      </c>
      <c r="I174" s="11" t="s">
        <v>24</v>
      </c>
      <c r="J174" s="10" t="str">
        <f>_xlfn.DISPIMG("ID_DC6EFB7BAC514709ADAE5F829849FBD1",1)</f>
        <v>=DISPIMG("ID_DC6EFB7BAC514709ADAE5F829849FBD1",1)</v>
      </c>
      <c r="L174" s="140"/>
      <c r="Q174" s="137"/>
      <c r="R174" s="137"/>
      <c r="S174" s="137"/>
    </row>
    <row r="175" s="10" customFormat="1" ht="48.75" spans="1:19">
      <c r="A175" s="136" t="s">
        <v>270</v>
      </c>
      <c r="B175" s="138">
        <v>46159</v>
      </c>
      <c r="C175" s="138"/>
      <c r="D175" s="137" t="s">
        <v>271</v>
      </c>
      <c r="E175" s="10" t="s">
        <v>41</v>
      </c>
      <c r="F175" s="10">
        <v>12</v>
      </c>
      <c r="G175" s="10">
        <v>50</v>
      </c>
      <c r="H175" s="11">
        <v>600</v>
      </c>
      <c r="I175" s="11" t="s">
        <v>24</v>
      </c>
      <c r="J175" s="10" t="str">
        <f>_xlfn.DISPIMG("ID_80BABFE15A6C44EF8ED8F2E54A094A8B",1)</f>
        <v>=DISPIMG("ID_80BABFE15A6C44EF8ED8F2E54A094A8B",1)</v>
      </c>
      <c r="L175" s="137" t="s">
        <v>272</v>
      </c>
      <c r="Q175" s="137"/>
      <c r="R175" s="137"/>
      <c r="S175" s="137"/>
    </row>
    <row r="176" s="10" customFormat="1" ht="81.75" spans="1:19">
      <c r="A176" s="141" t="s">
        <v>273</v>
      </c>
      <c r="B176" s="138">
        <v>46121</v>
      </c>
      <c r="C176" s="138"/>
      <c r="D176" s="142" t="s">
        <v>213</v>
      </c>
      <c r="E176" s="10" t="s">
        <v>262</v>
      </c>
      <c r="F176" s="10">
        <v>12</v>
      </c>
      <c r="G176" s="10">
        <v>2</v>
      </c>
      <c r="H176" s="11">
        <f>F176*G176</f>
        <v>24</v>
      </c>
      <c r="I176" s="11" t="s">
        <v>24</v>
      </c>
      <c r="K176" s="143"/>
      <c r="L176" s="137"/>
      <c r="M176" s="10" t="str">
        <f>_xlfn.DISPIMG("ID_401E5B231D5B4BE4A2745484F2F23BDE",1)</f>
        <v>=DISPIMG("ID_401E5B231D5B4BE4A2745484F2F23BDE",1)</v>
      </c>
      <c r="Q176" s="140"/>
      <c r="R176" s="140" t="s">
        <v>274</v>
      </c>
      <c r="S176" s="137"/>
    </row>
    <row r="177" s="10" customFormat="1" ht="110" customHeight="1" spans="1:19">
      <c r="A177" s="141" t="s">
        <v>273</v>
      </c>
      <c r="B177" s="138">
        <v>46121</v>
      </c>
      <c r="C177" s="138"/>
      <c r="D177" s="142" t="s">
        <v>213</v>
      </c>
      <c r="E177" s="10" t="s">
        <v>261</v>
      </c>
      <c r="F177" s="10">
        <v>12</v>
      </c>
      <c r="G177" s="10">
        <v>2</v>
      </c>
      <c r="H177" s="11">
        <f>F177*G177</f>
        <v>24</v>
      </c>
      <c r="I177" s="11" t="s">
        <v>24</v>
      </c>
      <c r="L177" s="137"/>
      <c r="M177" s="10" t="str">
        <f>_xlfn.DISPIMG("ID_F4C3BA8FA1DE4F2D9AC12BE1F2D38E5A",1)</f>
        <v>=DISPIMG("ID_F4C3BA8FA1DE4F2D9AC12BE1F2D38E5A",1)</v>
      </c>
      <c r="Q177" s="140"/>
      <c r="R177" s="140"/>
      <c r="S177" s="137"/>
    </row>
    <row r="178" s="10" customFormat="1" ht="87.6" spans="1:19">
      <c r="A178" s="136" t="s">
        <v>275</v>
      </c>
      <c r="B178" s="144">
        <v>46137</v>
      </c>
      <c r="C178" s="144"/>
      <c r="D178" s="85" t="s">
        <v>276</v>
      </c>
      <c r="E178" s="36" t="s">
        <v>41</v>
      </c>
      <c r="F178" s="10">
        <v>12</v>
      </c>
      <c r="G178" s="10">
        <v>10</v>
      </c>
      <c r="H178" s="11">
        <f t="shared" ref="H178:H181" si="6">F178*G178</f>
        <v>120</v>
      </c>
      <c r="I178" s="11" t="s">
        <v>24</v>
      </c>
      <c r="J178" s="10" t="str">
        <f>_xlfn.DISPIMG("ID_80BABFE15A6C44EF8ED8F2E54A094A8B",1)</f>
        <v>=DISPIMG("ID_80BABFE15A6C44EF8ED8F2E54A094A8B",1)</v>
      </c>
      <c r="K178" s="143">
        <v>46138</v>
      </c>
      <c r="L178" s="145" t="s">
        <v>112</v>
      </c>
      <c r="Q178" s="137"/>
      <c r="R178" s="137"/>
      <c r="S178" s="137"/>
    </row>
    <row r="179" s="10" customFormat="1" ht="67.5" spans="1:19">
      <c r="A179" s="136"/>
      <c r="B179" s="144">
        <v>46137</v>
      </c>
      <c r="C179" s="144"/>
      <c r="D179" s="85"/>
      <c r="E179" s="36" t="s">
        <v>265</v>
      </c>
      <c r="F179" s="10">
        <v>12</v>
      </c>
      <c r="G179" s="10">
        <v>10</v>
      </c>
      <c r="H179" s="11">
        <f t="shared" si="6"/>
        <v>120</v>
      </c>
      <c r="I179" s="11" t="s">
        <v>24</v>
      </c>
      <c r="J179" s="10" t="str">
        <f>_xlfn.DISPIMG("ID_DC6EFB7BAC514709ADAE5F829849FBD1",1)</f>
        <v>=DISPIMG("ID_DC6EFB7BAC514709ADAE5F829849FBD1",1)</v>
      </c>
      <c r="K179" s="143">
        <v>46138</v>
      </c>
      <c r="L179" s="145"/>
      <c r="Q179" s="137"/>
      <c r="R179" s="137"/>
      <c r="S179" s="137"/>
    </row>
    <row r="180" s="10" customFormat="1" ht="67.5" spans="1:19">
      <c r="A180" s="136"/>
      <c r="B180" s="144">
        <v>46137</v>
      </c>
      <c r="C180" s="144"/>
      <c r="D180" s="85"/>
      <c r="E180" s="36" t="s">
        <v>76</v>
      </c>
      <c r="F180" s="10">
        <v>12</v>
      </c>
      <c r="G180" s="10">
        <v>5</v>
      </c>
      <c r="H180" s="11">
        <f t="shared" si="6"/>
        <v>60</v>
      </c>
      <c r="I180" s="11" t="s">
        <v>24</v>
      </c>
      <c r="J180" s="10" t="str">
        <f>_xlfn.DISPIMG("ID_135C9235078044D580CF379B2E357FA5",1)</f>
        <v>=DISPIMG("ID_135C9235078044D580CF379B2E357FA5",1)</v>
      </c>
      <c r="K180" s="143">
        <v>46138</v>
      </c>
      <c r="L180" s="145"/>
      <c r="Q180" s="137"/>
      <c r="R180" s="137"/>
      <c r="S180" s="137"/>
    </row>
    <row r="181" s="10" customFormat="1" ht="64.5" spans="1:19">
      <c r="A181" s="136"/>
      <c r="B181" s="144">
        <v>46137</v>
      </c>
      <c r="C181" s="144"/>
      <c r="D181" s="85"/>
      <c r="E181" s="36" t="s">
        <v>77</v>
      </c>
      <c r="F181" s="10">
        <v>12</v>
      </c>
      <c r="G181" s="10">
        <v>5</v>
      </c>
      <c r="H181" s="11">
        <f t="shared" si="6"/>
        <v>60</v>
      </c>
      <c r="I181" s="11" t="s">
        <v>24</v>
      </c>
      <c r="J181" s="10" t="str">
        <f>_xlfn.DISPIMG("ID_DE685D3D1FEF4D7D8272440A0D6F321F",1)</f>
        <v>=DISPIMG("ID_DE685D3D1FEF4D7D8272440A0D6F321F",1)</v>
      </c>
      <c r="K181" s="143">
        <v>46138</v>
      </c>
      <c r="L181" s="145"/>
      <c r="Q181" s="137"/>
      <c r="R181" s="137"/>
      <c r="S181" s="137"/>
    </row>
    <row r="182" s="10" customFormat="1" ht="67.5" spans="1:19">
      <c r="A182" s="146" t="s">
        <v>277</v>
      </c>
      <c r="B182" s="138">
        <v>46164</v>
      </c>
      <c r="C182" s="138"/>
      <c r="D182" s="142" t="s">
        <v>176</v>
      </c>
      <c r="E182" s="10" t="s">
        <v>278</v>
      </c>
      <c r="F182" s="10">
        <v>12</v>
      </c>
      <c r="G182" s="10">
        <v>12</v>
      </c>
      <c r="H182" s="11">
        <f t="shared" ref="H178:H201" si="7">F182*G182</f>
        <v>144</v>
      </c>
      <c r="I182" s="11" t="s">
        <v>24</v>
      </c>
      <c r="J182" s="10" t="str">
        <f>_xlfn.DISPIMG("ID_67395E76A8CA464EB189B941CC33A391",1)</f>
        <v>=DISPIMG("ID_67395E76A8CA464EB189B941CC33A391",1)</v>
      </c>
      <c r="K182" s="143">
        <v>46153</v>
      </c>
      <c r="L182" s="137" t="s">
        <v>279</v>
      </c>
      <c r="Q182" s="145"/>
      <c r="R182" s="145" t="s">
        <v>179</v>
      </c>
      <c r="S182" s="137"/>
    </row>
    <row r="183" s="10" customFormat="1" ht="139" spans="1:19">
      <c r="A183" s="146" t="s">
        <v>277</v>
      </c>
      <c r="B183" s="138">
        <v>46164</v>
      </c>
      <c r="C183" s="138"/>
      <c r="D183" s="142" t="s">
        <v>176</v>
      </c>
      <c r="E183" s="10" t="s">
        <v>132</v>
      </c>
      <c r="F183" s="10">
        <v>12</v>
      </c>
      <c r="G183" s="10">
        <v>10</v>
      </c>
      <c r="H183" s="11">
        <f t="shared" si="7"/>
        <v>120</v>
      </c>
      <c r="I183" s="11" t="s">
        <v>24</v>
      </c>
      <c r="J183" s="10" t="str">
        <f>_xlfn.DISPIMG("ID_C90BDAD3623E45478D8CE8AFCC551504",1)</f>
        <v>=DISPIMG("ID_C90BDAD3623E45478D8CE8AFCC551504",1)</v>
      </c>
      <c r="K183" s="143">
        <v>46153</v>
      </c>
      <c r="L183" s="137"/>
      <c r="Q183" s="145"/>
      <c r="R183" s="145"/>
      <c r="S183" s="137"/>
    </row>
    <row r="184" s="10" customFormat="1" ht="48.75" spans="1:19">
      <c r="A184" s="146" t="s">
        <v>277</v>
      </c>
      <c r="B184" s="138">
        <v>46164</v>
      </c>
      <c r="C184" s="138"/>
      <c r="D184" s="142" t="s">
        <v>176</v>
      </c>
      <c r="E184" s="10" t="s">
        <v>261</v>
      </c>
      <c r="F184" s="10">
        <v>12</v>
      </c>
      <c r="G184" s="10">
        <v>115</v>
      </c>
      <c r="H184" s="11">
        <f t="shared" si="7"/>
        <v>1380</v>
      </c>
      <c r="I184" s="11" t="s">
        <v>24</v>
      </c>
      <c r="J184" s="10" t="str">
        <f>_xlfn.DISPIMG("ID_88AF2DD40D344BD18F4A8C8B009E255C",1)</f>
        <v>=DISPIMG("ID_88AF2DD40D344BD18F4A8C8B009E255C",1)</v>
      </c>
      <c r="K184" s="143">
        <v>46153</v>
      </c>
      <c r="L184" s="142" t="s">
        <v>280</v>
      </c>
      <c r="Q184" s="145"/>
      <c r="R184" s="145"/>
      <c r="S184" s="137"/>
    </row>
    <row r="185" s="10" customFormat="1" ht="65.25" spans="1:19">
      <c r="A185" s="85" t="s">
        <v>281</v>
      </c>
      <c r="B185" s="138">
        <v>46124</v>
      </c>
      <c r="C185" s="138"/>
      <c r="D185" s="137" t="s">
        <v>282</v>
      </c>
      <c r="E185" s="10" t="s">
        <v>266</v>
      </c>
      <c r="F185" s="10">
        <v>12</v>
      </c>
      <c r="G185" s="10">
        <v>10</v>
      </c>
      <c r="H185" s="11">
        <f t="shared" si="7"/>
        <v>120</v>
      </c>
      <c r="I185" s="11" t="s">
        <v>24</v>
      </c>
      <c r="J185" s="9" t="str">
        <f>_xlfn.DISPIMG("ID_8300B0B7A3444E88931F5624AF238F6E",1)</f>
        <v>=DISPIMG("ID_8300B0B7A3444E88931F5624AF238F6E",1)</v>
      </c>
      <c r="K185" s="143">
        <v>46125</v>
      </c>
      <c r="L185" s="142"/>
      <c r="Q185" s="137"/>
      <c r="R185" s="137"/>
      <c r="S185" s="137"/>
    </row>
    <row r="186" s="10" customFormat="1" ht="67.5" spans="1:19">
      <c r="A186" s="85" t="s">
        <v>283</v>
      </c>
      <c r="B186" s="138">
        <v>46154</v>
      </c>
      <c r="C186" s="138"/>
      <c r="D186" s="137" t="s">
        <v>284</v>
      </c>
      <c r="E186" s="10" t="s">
        <v>285</v>
      </c>
      <c r="F186" s="10">
        <v>12</v>
      </c>
      <c r="G186" s="10">
        <v>3</v>
      </c>
      <c r="H186" s="11">
        <f t="shared" si="7"/>
        <v>36</v>
      </c>
      <c r="I186" s="11" t="s">
        <v>24</v>
      </c>
      <c r="J186" s="10" t="str">
        <f>_xlfn.DISPIMG("ID_06CF54BDFF2B4EDD99F8EDC8F92F6DCD",1)</f>
        <v>=DISPIMG("ID_06CF54BDFF2B4EDD99F8EDC8F92F6DCD",1)</v>
      </c>
      <c r="L186" s="142"/>
      <c r="Q186" s="137"/>
      <c r="R186" s="137"/>
      <c r="S186" s="137"/>
    </row>
    <row r="187" s="10" customFormat="1" spans="1:19">
      <c r="A187" s="85" t="s">
        <v>286</v>
      </c>
      <c r="B187" s="138">
        <v>46119</v>
      </c>
      <c r="C187" s="138"/>
      <c r="D187" s="137" t="s">
        <v>287</v>
      </c>
      <c r="E187" s="10" t="s">
        <v>248</v>
      </c>
      <c r="F187" s="10">
        <v>12</v>
      </c>
      <c r="G187" s="10">
        <v>25</v>
      </c>
      <c r="H187" s="11">
        <f t="shared" si="7"/>
        <v>300</v>
      </c>
      <c r="I187" s="11" t="s">
        <v>24</v>
      </c>
      <c r="L187" s="142"/>
      <c r="Q187" s="137"/>
      <c r="R187" s="137"/>
      <c r="S187" s="137"/>
    </row>
    <row r="188" s="10" customFormat="1" ht="30" spans="1:19">
      <c r="A188" s="136" t="s">
        <v>288</v>
      </c>
      <c r="B188" s="138"/>
      <c r="C188" s="138"/>
      <c r="D188" s="137" t="s">
        <v>289</v>
      </c>
      <c r="E188" s="10" t="s">
        <v>290</v>
      </c>
      <c r="H188" s="11">
        <v>4200</v>
      </c>
      <c r="I188" s="11" t="s">
        <v>24</v>
      </c>
      <c r="K188" s="143"/>
      <c r="L188" s="137" t="s">
        <v>291</v>
      </c>
      <c r="Q188" s="137"/>
      <c r="R188" s="137"/>
      <c r="S188" s="137"/>
    </row>
    <row r="189" ht="67.5" spans="1:19">
      <c r="A189" s="147" t="s">
        <v>292</v>
      </c>
      <c r="B189" s="7">
        <v>46129</v>
      </c>
      <c r="D189" s="148" t="s">
        <v>211</v>
      </c>
      <c r="E189" s="9" t="s">
        <v>262</v>
      </c>
      <c r="F189" s="10">
        <v>12</v>
      </c>
      <c r="G189" s="10">
        <v>10</v>
      </c>
      <c r="H189" s="11">
        <f t="shared" si="7"/>
        <v>120</v>
      </c>
      <c r="I189" s="11" t="s">
        <v>24</v>
      </c>
      <c r="J189" s="10" t="str">
        <f>_xlfn.DISPIMG("ID_1F876FEEF188493FA1A8DAD154E8C915",1)</f>
        <v>=DISPIMG("ID_1F876FEEF188493FA1A8DAD154E8C915",1)</v>
      </c>
      <c r="K189" s="143">
        <v>46131</v>
      </c>
      <c r="L189" s="8" t="s">
        <v>158</v>
      </c>
    </row>
    <row r="190" ht="49.5" spans="1:19">
      <c r="A190" s="147"/>
      <c r="B190" s="7">
        <v>46129</v>
      </c>
      <c r="D190" s="148"/>
      <c r="E190" s="9" t="s">
        <v>261</v>
      </c>
      <c r="F190" s="10">
        <v>12</v>
      </c>
      <c r="G190" s="10">
        <v>30</v>
      </c>
      <c r="H190" s="11">
        <f t="shared" si="7"/>
        <v>360</v>
      </c>
      <c r="I190" s="11" t="s">
        <v>24</v>
      </c>
      <c r="J190" s="10" t="str">
        <f>_xlfn.DISPIMG("ID_94864746F84F49D394A5BFDA640E84C3",1)</f>
        <v>=DISPIMG("ID_94864746F84F49D394A5BFDA640E84C3",1)</v>
      </c>
      <c r="K190" s="143">
        <v>46131</v>
      </c>
    </row>
    <row r="191" ht="47" customHeight="1" spans="1:19">
      <c r="A191" s="136" t="s">
        <v>293</v>
      </c>
      <c r="B191" s="7">
        <v>46124</v>
      </c>
      <c r="D191" s="8" t="s">
        <v>145</v>
      </c>
      <c r="E191" s="9" t="s">
        <v>134</v>
      </c>
      <c r="F191" s="10"/>
      <c r="G191" s="10"/>
      <c r="H191" s="11">
        <v>30</v>
      </c>
      <c r="I191" s="11" t="s">
        <v>24</v>
      </c>
      <c r="J191" s="10"/>
      <c r="K191" s="10"/>
      <c r="L191" s="8" t="s">
        <v>294</v>
      </c>
    </row>
    <row r="192" spans="1:19">
      <c r="A192" s="147" t="s">
        <v>295</v>
      </c>
      <c r="B192" s="7">
        <v>46124</v>
      </c>
      <c r="D192" s="148" t="s">
        <v>296</v>
      </c>
      <c r="E192" s="9" t="s">
        <v>262</v>
      </c>
      <c r="F192" s="10">
        <v>12</v>
      </c>
      <c r="G192" s="10">
        <v>20</v>
      </c>
      <c r="H192" s="11">
        <f t="shared" si="7"/>
        <v>240</v>
      </c>
      <c r="I192" s="11" t="s">
        <v>24</v>
      </c>
      <c r="J192" s="10"/>
      <c r="K192" s="10"/>
    </row>
    <row r="193" spans="1:16">
      <c r="A193" s="147"/>
      <c r="B193" s="7">
        <v>46124</v>
      </c>
      <c r="D193" s="148"/>
      <c r="E193" s="9" t="s">
        <v>261</v>
      </c>
      <c r="F193" s="10">
        <v>12</v>
      </c>
      <c r="G193" s="10">
        <v>30</v>
      </c>
      <c r="H193" s="11">
        <f t="shared" si="7"/>
        <v>360</v>
      </c>
      <c r="I193" s="11" t="s">
        <v>24</v>
      </c>
      <c r="J193" s="10"/>
      <c r="K193" s="10"/>
    </row>
    <row r="194" spans="1:16">
      <c r="A194" s="147" t="s">
        <v>297</v>
      </c>
      <c r="B194" s="7">
        <v>46124</v>
      </c>
      <c r="D194" s="145" t="s">
        <v>63</v>
      </c>
      <c r="E194" s="39" t="s">
        <v>44</v>
      </c>
      <c r="F194" s="75">
        <v>12</v>
      </c>
      <c r="G194" s="75">
        <v>10</v>
      </c>
      <c r="H194" s="11">
        <f t="shared" si="7"/>
        <v>120</v>
      </c>
      <c r="I194" s="11" t="s">
        <v>24</v>
      </c>
      <c r="J194" s="10"/>
      <c r="K194" s="10"/>
      <c r="L194" s="145" t="s">
        <v>298</v>
      </c>
    </row>
    <row r="195" spans="1:16">
      <c r="A195" s="147"/>
      <c r="B195" s="7">
        <v>46124</v>
      </c>
      <c r="D195" s="145"/>
      <c r="E195" s="39" t="s">
        <v>41</v>
      </c>
      <c r="F195" s="75">
        <v>12</v>
      </c>
      <c r="G195" s="75">
        <v>30</v>
      </c>
      <c r="H195" s="11">
        <f t="shared" si="7"/>
        <v>360</v>
      </c>
      <c r="I195" s="11" t="s">
        <v>24</v>
      </c>
      <c r="J195" s="10"/>
      <c r="K195" s="10"/>
      <c r="L195" s="145"/>
    </row>
    <row r="196" ht="49.5" spans="1:16">
      <c r="A196" s="149" t="s">
        <v>299</v>
      </c>
      <c r="D196" s="142" t="s">
        <v>106</v>
      </c>
      <c r="E196" s="10" t="s">
        <v>261</v>
      </c>
      <c r="F196" s="10">
        <v>12</v>
      </c>
      <c r="G196" s="10">
        <v>10</v>
      </c>
      <c r="H196" s="11">
        <f t="shared" si="7"/>
        <v>120</v>
      </c>
      <c r="I196" s="11" t="s">
        <v>24</v>
      </c>
      <c r="J196" s="10" t="str">
        <f t="shared" ref="J196:J200" si="8">_xlfn.DISPIMG("ID_94864746F84F49D394A5BFDA640E84C3",1)</f>
        <v>=DISPIMG("ID_94864746F84F49D394A5BFDA640E84C3",1)</v>
      </c>
      <c r="K196" s="143">
        <v>46124</v>
      </c>
      <c r="L196" s="145" t="s">
        <v>300</v>
      </c>
      <c r="M196" s="147" t="str">
        <f>_xlfn.DISPIMG("ID_C6EFB9C308084C3D922D1515419BDC35",1)</f>
        <v>=DISPIMG("ID_C6EFB9C308084C3D922D1515419BDC35",1)</v>
      </c>
    </row>
    <row r="197" ht="63" spans="1:16">
      <c r="A197" s="149" t="s">
        <v>299</v>
      </c>
      <c r="D197" s="142" t="s">
        <v>106</v>
      </c>
      <c r="E197" s="10" t="s">
        <v>89</v>
      </c>
      <c r="F197" s="10">
        <v>12</v>
      </c>
      <c r="G197" s="10">
        <v>5</v>
      </c>
      <c r="H197" s="11">
        <f t="shared" si="7"/>
        <v>60</v>
      </c>
      <c r="I197" s="11" t="s">
        <v>24</v>
      </c>
      <c r="J197" s="9" t="str">
        <f>_xlfn.DISPIMG("ID_C7743C77966D4DDF8925AB9C9EF3DFBA",1)</f>
        <v>=DISPIMG("ID_C7743C77966D4DDF8925AB9C9EF3DFBA",1)</v>
      </c>
      <c r="K197" s="10"/>
      <c r="L197" s="145"/>
      <c r="M197" s="147"/>
    </row>
    <row r="198" ht="79.15" spans="1:16">
      <c r="A198" s="149" t="s">
        <v>299</v>
      </c>
      <c r="B198" s="7">
        <v>46139</v>
      </c>
      <c r="D198" s="142" t="s">
        <v>106</v>
      </c>
      <c r="E198" s="10" t="s">
        <v>261</v>
      </c>
      <c r="F198" s="10">
        <v>12</v>
      </c>
      <c r="G198" s="10">
        <v>3</v>
      </c>
      <c r="H198" s="11">
        <f t="shared" si="7"/>
        <v>36</v>
      </c>
      <c r="I198" s="11" t="s">
        <v>24</v>
      </c>
      <c r="J198" s="10" t="str">
        <f t="shared" si="8"/>
        <v>=DISPIMG("ID_94864746F84F49D394A5BFDA640E84C3",1)</v>
      </c>
      <c r="K198" s="143">
        <v>46134</v>
      </c>
      <c r="L198" s="137"/>
      <c r="M198" s="9" t="str">
        <f>_xlfn.DISPIMG("ID_A176F3D1F56B45AFB698ABF7431854F5",1)</f>
        <v>=DISPIMG("ID_A176F3D1F56B45AFB698ABF7431854F5",1)</v>
      </c>
    </row>
    <row r="199" ht="143.75" spans="1:16">
      <c r="A199" s="149" t="s">
        <v>299</v>
      </c>
      <c r="B199" s="7">
        <v>46160</v>
      </c>
      <c r="D199" s="142" t="s">
        <v>106</v>
      </c>
      <c r="E199" s="10" t="s">
        <v>301</v>
      </c>
      <c r="F199" s="10">
        <v>12</v>
      </c>
      <c r="G199" s="10">
        <v>12</v>
      </c>
      <c r="H199" s="11">
        <f t="shared" si="7"/>
        <v>144</v>
      </c>
      <c r="I199" s="11" t="s">
        <v>24</v>
      </c>
      <c r="J199" s="10" t="str">
        <f t="shared" si="8"/>
        <v>=DISPIMG("ID_94864746F84F49D394A5BFDA640E84C3",1)</v>
      </c>
      <c r="K199" s="10"/>
      <c r="L199" s="137"/>
      <c r="M199" s="9" t="str">
        <f>_xlfn.DISPIMG("ID_9AF45304E0FC47ABAE07423C1D23428B",1)</f>
        <v>=DISPIMG("ID_9AF45304E0FC47ABAE07423C1D23428B",1)</v>
      </c>
    </row>
    <row r="200" spans="1:16">
      <c r="A200" s="149" t="s">
        <v>299</v>
      </c>
      <c r="B200" s="7">
        <v>46139</v>
      </c>
      <c r="D200" s="142" t="s">
        <v>106</v>
      </c>
      <c r="E200" s="10" t="s">
        <v>118</v>
      </c>
      <c r="F200" s="10">
        <v>12</v>
      </c>
      <c r="G200" s="10">
        <v>2</v>
      </c>
      <c r="H200" s="11">
        <f t="shared" si="7"/>
        <v>24</v>
      </c>
      <c r="I200" s="11" t="s">
        <v>24</v>
      </c>
      <c r="J200" s="10"/>
      <c r="K200" s="10"/>
      <c r="L200" s="137" t="s">
        <v>302</v>
      </c>
    </row>
    <row r="201" ht="68.25" spans="1:16">
      <c r="A201" s="6" t="s">
        <v>303</v>
      </c>
      <c r="B201" s="7">
        <v>46137</v>
      </c>
      <c r="D201" s="137" t="s">
        <v>304</v>
      </c>
      <c r="E201" s="10" t="s">
        <v>285</v>
      </c>
      <c r="F201" s="10">
        <v>12</v>
      </c>
      <c r="G201" s="10">
        <v>5</v>
      </c>
      <c r="H201" s="11">
        <f t="shared" si="7"/>
        <v>60</v>
      </c>
      <c r="I201" s="11" t="s">
        <v>24</v>
      </c>
      <c r="J201" s="10" t="str">
        <f>_xlfn.DISPIMG("ID_10E342E27EC4464992B6C44AA79FB7D3",1)</f>
        <v>=DISPIMG("ID_10E342E27EC4464992B6C44AA79FB7D3",1)</v>
      </c>
      <c r="K201" s="10"/>
      <c r="L201" s="137" t="s">
        <v>158</v>
      </c>
    </row>
    <row r="202" ht="169.9" spans="1:16">
      <c r="A202" s="6" t="s">
        <v>305</v>
      </c>
      <c r="D202" s="137" t="s">
        <v>306</v>
      </c>
      <c r="E202" s="10" t="s">
        <v>41</v>
      </c>
      <c r="F202" s="10">
        <v>12</v>
      </c>
      <c r="G202" s="10">
        <v>100</v>
      </c>
      <c r="H202" s="11">
        <f t="shared" ref="H202:H236" si="9">F202*G202</f>
        <v>1200</v>
      </c>
      <c r="I202" s="11" t="s">
        <v>24</v>
      </c>
      <c r="J202" s="10"/>
      <c r="K202" s="143">
        <v>46140</v>
      </c>
      <c r="L202" s="137" t="s">
        <v>307</v>
      </c>
      <c r="M202" s="9" t="str">
        <f>_xlfn.DISPIMG("ID_38D19ABD0C574807BCED0B67870D991F",1)</f>
        <v>=DISPIMG("ID_38D19ABD0C574807BCED0B67870D991F",1)</v>
      </c>
      <c r="P202" s="9" t="str">
        <f>_xlfn.DISPIMG("ID_C332EFB02B32467EA550788AC6817D01",1)</f>
        <v>=DISPIMG("ID_C332EFB02B32467EA550788AC6817D01",1)</v>
      </c>
    </row>
    <row r="203" ht="67.5" spans="1:16">
      <c r="A203" s="6" t="s">
        <v>308</v>
      </c>
      <c r="B203" s="7">
        <v>46129</v>
      </c>
      <c r="D203" s="137" t="s">
        <v>309</v>
      </c>
      <c r="E203" s="10" t="s">
        <v>221</v>
      </c>
      <c r="F203" s="10">
        <v>12</v>
      </c>
      <c r="G203" s="10">
        <v>21</v>
      </c>
      <c r="H203" s="11">
        <f t="shared" si="9"/>
        <v>252</v>
      </c>
      <c r="I203" s="11" t="s">
        <v>24</v>
      </c>
      <c r="J203" s="10" t="str">
        <f>_xlfn.DISPIMG("ID_5B42375A5CFA4D37ACCBA740BDACF8A4",1)</f>
        <v>=DISPIMG("ID_5B42375A5CFA4D37ACCBA740BDACF8A4",1)</v>
      </c>
      <c r="K203" s="10"/>
      <c r="L203" s="137" t="s">
        <v>310</v>
      </c>
    </row>
    <row r="204" ht="68.25" spans="1:16">
      <c r="A204" s="6" t="s">
        <v>311</v>
      </c>
      <c r="B204" s="7">
        <v>46180</v>
      </c>
      <c r="D204" s="137" t="s">
        <v>312</v>
      </c>
      <c r="E204" s="10" t="s">
        <v>76</v>
      </c>
      <c r="F204" s="10">
        <v>12</v>
      </c>
      <c r="G204" s="10">
        <v>10</v>
      </c>
      <c r="H204" s="11">
        <f t="shared" si="9"/>
        <v>120</v>
      </c>
      <c r="I204" s="11" t="s">
        <v>24</v>
      </c>
      <c r="J204" s="10" t="str">
        <f>_xlfn.DISPIMG("ID_41958D133E644C958853AF12B502E648",1)</f>
        <v>=DISPIMG("ID_41958D133E644C958853AF12B502E648",1)</v>
      </c>
      <c r="K204" s="10"/>
      <c r="L204" s="137" t="s">
        <v>313</v>
      </c>
    </row>
    <row r="205" ht="49.5" spans="1:16">
      <c r="A205" s="114" t="s">
        <v>314</v>
      </c>
      <c r="B205" s="7">
        <v>46137</v>
      </c>
      <c r="C205" s="150"/>
      <c r="D205" s="151" t="s">
        <v>315</v>
      </c>
      <c r="E205" s="10" t="s">
        <v>41</v>
      </c>
      <c r="F205" s="10">
        <v>12</v>
      </c>
      <c r="G205" s="10">
        <v>3</v>
      </c>
      <c r="H205" s="11">
        <f t="shared" si="9"/>
        <v>36</v>
      </c>
      <c r="I205" s="11" t="s">
        <v>24</v>
      </c>
      <c r="J205" s="10" t="str">
        <f>_xlfn.DISPIMG("ID_F343A9A0244947B590C301EBF71705D1",1)</f>
        <v>=DISPIMG("ID_F343A9A0244947B590C301EBF71705D1",1)</v>
      </c>
      <c r="K205" s="10"/>
      <c r="L205" s="151" t="s">
        <v>158</v>
      </c>
    </row>
    <row r="206" ht="66.75" spans="1:16">
      <c r="A206" s="116"/>
      <c r="B206" s="7">
        <v>46137</v>
      </c>
      <c r="C206" s="152"/>
      <c r="D206" s="153"/>
      <c r="E206" s="10" t="s">
        <v>262</v>
      </c>
      <c r="F206" s="10">
        <v>12</v>
      </c>
      <c r="G206" s="10">
        <v>3</v>
      </c>
      <c r="H206" s="11">
        <f t="shared" si="9"/>
        <v>36</v>
      </c>
      <c r="I206" s="11" t="s">
        <v>24</v>
      </c>
      <c r="J206" s="10" t="str">
        <f>_xlfn.DISPIMG("ID_6F6C05C992D04BE487DEB6E450E4669E",1)</f>
        <v>=DISPIMG("ID_6F6C05C992D04BE487DEB6E450E4669E",1)</v>
      </c>
      <c r="K206" s="10"/>
      <c r="L206" s="153"/>
    </row>
    <row r="207" ht="67.5" spans="1:16">
      <c r="A207" s="116"/>
      <c r="B207" s="7">
        <v>46137</v>
      </c>
      <c r="C207" s="152"/>
      <c r="D207" s="153"/>
      <c r="E207" s="10" t="s">
        <v>265</v>
      </c>
      <c r="F207" s="10">
        <v>12</v>
      </c>
      <c r="G207" s="10">
        <v>3</v>
      </c>
      <c r="H207" s="11">
        <f t="shared" si="9"/>
        <v>36</v>
      </c>
      <c r="I207" s="11" t="s">
        <v>24</v>
      </c>
      <c r="J207" s="10" t="str">
        <f>_xlfn.DISPIMG("ID_609853501B7C461881BB50589DA89D0C",1)</f>
        <v>=DISPIMG("ID_609853501B7C461881BB50589DA89D0C",1)</v>
      </c>
      <c r="K207" s="10"/>
      <c r="L207" s="153"/>
    </row>
    <row r="208" ht="64.5" spans="1:16">
      <c r="A208" s="116"/>
      <c r="B208" s="7">
        <v>46137</v>
      </c>
      <c r="C208" s="152"/>
      <c r="D208" s="153"/>
      <c r="E208" s="10" t="s">
        <v>77</v>
      </c>
      <c r="F208" s="10">
        <v>12</v>
      </c>
      <c r="G208" s="10">
        <v>5</v>
      </c>
      <c r="H208" s="11">
        <f t="shared" si="9"/>
        <v>60</v>
      </c>
      <c r="I208" s="11" t="s">
        <v>24</v>
      </c>
      <c r="J208" s="10" t="str">
        <f>_xlfn.DISPIMG("ID_44C7B6F7EA314B868444B4D6A96BC228",1)</f>
        <v>=DISPIMG("ID_44C7B6F7EA314B868444B4D6A96BC228",1)</v>
      </c>
      <c r="K208" s="10"/>
      <c r="L208" s="153"/>
    </row>
    <row r="209" ht="67.5" spans="1:16">
      <c r="A209" s="117"/>
      <c r="B209" s="7">
        <v>46137</v>
      </c>
      <c r="C209" s="154"/>
      <c r="D209" s="155"/>
      <c r="E209" s="10" t="s">
        <v>76</v>
      </c>
      <c r="F209" s="10">
        <v>12</v>
      </c>
      <c r="G209" s="10">
        <v>5</v>
      </c>
      <c r="H209" s="11">
        <f t="shared" si="9"/>
        <v>60</v>
      </c>
      <c r="I209" s="11" t="s">
        <v>24</v>
      </c>
      <c r="J209" s="10" t="str">
        <f>_xlfn.DISPIMG("ID_7DA3759EB29846EE94253E5C5D39D6DE",1)</f>
        <v>=DISPIMG("ID_7DA3759EB29846EE94253E5C5D39D6DE",1)</v>
      </c>
      <c r="K209" s="10"/>
      <c r="L209" s="155"/>
    </row>
    <row r="210" ht="192" customHeight="1" spans="1:16">
      <c r="A210" s="114" t="s">
        <v>316</v>
      </c>
      <c r="B210" s="7">
        <v>46129</v>
      </c>
      <c r="C210" s="150"/>
      <c r="D210" s="151" t="s">
        <v>317</v>
      </c>
      <c r="E210" s="10" t="s">
        <v>41</v>
      </c>
      <c r="F210" s="10">
        <v>12</v>
      </c>
      <c r="G210" s="10">
        <v>10</v>
      </c>
      <c r="H210" s="11">
        <f t="shared" si="9"/>
        <v>120</v>
      </c>
      <c r="I210" s="11" t="s">
        <v>24</v>
      </c>
      <c r="J210" s="10" t="str">
        <f t="shared" ref="J210:J213" si="10">_xlfn.DISPIMG("ID_F343A9A0244947B590C301EBF71705D1",1)</f>
        <v>=DISPIMG("ID_F343A9A0244947B590C301EBF71705D1",1)</v>
      </c>
      <c r="K210" s="143">
        <v>46128</v>
      </c>
      <c r="L210" s="151" t="s">
        <v>318</v>
      </c>
      <c r="M210" s="114" t="str">
        <f>_xlfn.DISPIMG("ID_0CCCE3D03268448DA27D199467B72A55",1)</f>
        <v>=DISPIMG("ID_0CCCE3D03268448DA27D199467B72A55",1)</v>
      </c>
      <c r="N210" s="156"/>
    </row>
    <row r="211" ht="66.75" spans="1:16">
      <c r="A211" s="117"/>
      <c r="B211" s="7">
        <v>46129</v>
      </c>
      <c r="C211" s="154"/>
      <c r="D211" s="155"/>
      <c r="E211" s="10" t="s">
        <v>262</v>
      </c>
      <c r="F211" s="10">
        <v>12</v>
      </c>
      <c r="G211" s="10">
        <v>20</v>
      </c>
      <c r="H211" s="11">
        <f t="shared" si="9"/>
        <v>240</v>
      </c>
      <c r="I211" s="11" t="s">
        <v>24</v>
      </c>
      <c r="J211" s="10" t="str">
        <f>_xlfn.DISPIMG("ID_6F6C05C992D04BE487DEB6E450E4669E",1)</f>
        <v>=DISPIMG("ID_6F6C05C992D04BE487DEB6E450E4669E",1)</v>
      </c>
      <c r="K211" s="143">
        <v>46128</v>
      </c>
      <c r="L211" s="155"/>
      <c r="M211" s="117"/>
      <c r="N211" s="157"/>
    </row>
    <row r="212" ht="207.15" spans="1:16">
      <c r="A212" s="6" t="s">
        <v>319</v>
      </c>
      <c r="B212" s="7">
        <v>46151</v>
      </c>
      <c r="D212" s="137" t="s">
        <v>106</v>
      </c>
      <c r="E212" s="10" t="s">
        <v>261</v>
      </c>
      <c r="F212" s="10">
        <v>12</v>
      </c>
      <c r="G212" s="10">
        <v>10</v>
      </c>
      <c r="H212" s="11">
        <f t="shared" si="9"/>
        <v>120</v>
      </c>
      <c r="I212" s="11" t="s">
        <v>24</v>
      </c>
      <c r="J212" s="10" t="str">
        <f t="shared" si="10"/>
        <v>=DISPIMG("ID_F343A9A0244947B590C301EBF71705D1",1)</v>
      </c>
      <c r="K212" s="143">
        <v>46134</v>
      </c>
      <c r="L212" s="137" t="s">
        <v>320</v>
      </c>
      <c r="M212" s="9" t="str">
        <f>_xlfn.DISPIMG("ID_554D825539864C2FB9C89E735BF239E6",1)</f>
        <v>=DISPIMG("ID_554D825539864C2FB9C89E735BF239E6",1)</v>
      </c>
      <c r="O212" s="9" t="str">
        <f>_xlfn.DISPIMG("ID_6E16C074A29A4D879BE91F7B84EBB7AE",1)</f>
        <v>=DISPIMG("ID_6E16C074A29A4D879BE91F7B84EBB7AE",1)</v>
      </c>
    </row>
    <row r="213" ht="105" spans="1:16">
      <c r="A213" s="6" t="s">
        <v>321</v>
      </c>
      <c r="B213" s="7">
        <v>46182</v>
      </c>
      <c r="D213" s="137" t="s">
        <v>322</v>
      </c>
      <c r="E213" s="10" t="s">
        <v>41</v>
      </c>
      <c r="F213" s="10">
        <v>12</v>
      </c>
      <c r="G213" s="10">
        <v>100</v>
      </c>
      <c r="H213" s="11">
        <f t="shared" si="9"/>
        <v>1200</v>
      </c>
      <c r="I213" s="11" t="s">
        <v>24</v>
      </c>
      <c r="J213" s="10" t="str">
        <f t="shared" si="10"/>
        <v>=DISPIMG("ID_F343A9A0244947B590C301EBF71705D1",1)</v>
      </c>
      <c r="K213" s="105">
        <v>46182</v>
      </c>
      <c r="L213" s="137" t="s">
        <v>323</v>
      </c>
      <c r="M213" s="137"/>
      <c r="P213" s="9" t="str">
        <f>_xlfn.DISPIMG("ID_6BA675F4F8D54CFCAE6BACC69210C19B",1)</f>
        <v>=DISPIMG("ID_6BA675F4F8D54CFCAE6BACC69210C19B",1)</v>
      </c>
    </row>
    <row r="214" ht="105" spans="1:16">
      <c r="A214" s="6" t="s">
        <v>321</v>
      </c>
      <c r="D214" s="137" t="s">
        <v>322</v>
      </c>
      <c r="E214" s="10" t="s">
        <v>265</v>
      </c>
      <c r="F214" s="10">
        <v>12</v>
      </c>
      <c r="G214" s="10">
        <v>100</v>
      </c>
      <c r="H214" s="11">
        <f t="shared" si="9"/>
        <v>1200</v>
      </c>
      <c r="I214" s="11" t="s">
        <v>24</v>
      </c>
      <c r="J214" s="10" t="str">
        <f>_xlfn.DISPIMG("ID_4924500D8EC24EE490F2CB3D8C236146",1)</f>
        <v>=DISPIMG("ID_4924500D8EC24EE490F2CB3D8C236146",1)</v>
      </c>
      <c r="K214" s="105">
        <v>46182</v>
      </c>
      <c r="L214" s="137" t="s">
        <v>323</v>
      </c>
      <c r="M214" s="137"/>
    </row>
    <row r="215" ht="67.5" spans="1:16">
      <c r="A215" s="6" t="s">
        <v>324</v>
      </c>
      <c r="B215" s="7">
        <v>46166</v>
      </c>
      <c r="D215" s="137" t="s">
        <v>325</v>
      </c>
      <c r="E215" s="10" t="s">
        <v>262</v>
      </c>
      <c r="F215" s="10">
        <v>12</v>
      </c>
      <c r="G215" s="10">
        <v>5</v>
      </c>
      <c r="H215" s="11">
        <f t="shared" si="9"/>
        <v>60</v>
      </c>
      <c r="I215" s="11" t="s">
        <v>24</v>
      </c>
      <c r="J215" s="10" t="str">
        <f>_xlfn.DISPIMG("ID_19FDB5D2056B478D95F25EF8812CE523",1)</f>
        <v>=DISPIMG("ID_19FDB5D2056B478D95F25EF8812CE523",1)</v>
      </c>
      <c r="L215" s="10" t="s">
        <v>158</v>
      </c>
      <c r="M215" s="137"/>
    </row>
    <row r="216" ht="49.5" spans="1:16">
      <c r="A216" s="6" t="s">
        <v>324</v>
      </c>
      <c r="B216" s="7">
        <v>46166</v>
      </c>
      <c r="D216" s="137" t="s">
        <v>325</v>
      </c>
      <c r="E216" s="10" t="s">
        <v>41</v>
      </c>
      <c r="F216" s="10">
        <v>12</v>
      </c>
      <c r="G216" s="10">
        <v>5</v>
      </c>
      <c r="H216" s="11">
        <f t="shared" si="9"/>
        <v>60</v>
      </c>
      <c r="I216" s="11" t="s">
        <v>24</v>
      </c>
      <c r="J216" s="10" t="str">
        <f>_xlfn.DISPIMG("ID_F343A9A0244947B590C301EBF71705D1",1)</f>
        <v>=DISPIMG("ID_F343A9A0244947B590C301EBF71705D1",1)</v>
      </c>
      <c r="L216" s="10" t="s">
        <v>158</v>
      </c>
      <c r="M216" s="137"/>
    </row>
    <row r="217" ht="67.5" spans="1:16">
      <c r="A217" s="6" t="s">
        <v>326</v>
      </c>
      <c r="D217" s="137" t="s">
        <v>327</v>
      </c>
      <c r="E217" s="137" t="s">
        <v>262</v>
      </c>
      <c r="F217" s="10">
        <v>12</v>
      </c>
      <c r="G217" s="10">
        <v>50</v>
      </c>
      <c r="H217" s="11">
        <f t="shared" si="9"/>
        <v>600</v>
      </c>
      <c r="I217" s="11" t="s">
        <v>24</v>
      </c>
      <c r="J217" s="10" t="str">
        <f>_xlfn.DISPIMG("ID_19FDB5D2056B478D95F25EF8812CE523",1)</f>
        <v>=DISPIMG("ID_19FDB5D2056B478D95F25EF8812CE523",1)</v>
      </c>
      <c r="L217" s="10" t="s">
        <v>328</v>
      </c>
      <c r="M217" s="137" t="s">
        <v>329</v>
      </c>
    </row>
    <row r="218" ht="66" spans="1:16">
      <c r="A218" s="6" t="s">
        <v>330</v>
      </c>
      <c r="B218" s="7">
        <v>46148</v>
      </c>
      <c r="D218" s="137" t="s">
        <v>331</v>
      </c>
      <c r="E218" s="10" t="s">
        <v>266</v>
      </c>
      <c r="F218" s="10">
        <v>12</v>
      </c>
      <c r="G218" s="10">
        <v>2</v>
      </c>
      <c r="H218" s="11">
        <f t="shared" si="9"/>
        <v>24</v>
      </c>
      <c r="I218" s="11" t="s">
        <v>24</v>
      </c>
      <c r="J218" s="10" t="str">
        <f>_xlfn.DISPIMG("ID_A44C3C46A6034713AA3A998003189A18",1)</f>
        <v>=DISPIMG("ID_A44C3C46A6034713AA3A998003189A18",1)</v>
      </c>
      <c r="K218" s="10"/>
      <c r="L218" s="137" t="s">
        <v>332</v>
      </c>
    </row>
    <row r="219" ht="67.5" spans="1:16">
      <c r="A219" s="6" t="s">
        <v>330</v>
      </c>
      <c r="B219" s="7">
        <v>46148</v>
      </c>
      <c r="D219" s="137" t="s">
        <v>331</v>
      </c>
      <c r="E219" s="10" t="s">
        <v>76</v>
      </c>
      <c r="F219" s="10">
        <v>12</v>
      </c>
      <c r="G219" s="10">
        <v>2</v>
      </c>
      <c r="H219" s="11">
        <f t="shared" si="9"/>
        <v>24</v>
      </c>
      <c r="I219" s="11" t="s">
        <v>24</v>
      </c>
      <c r="J219" s="10" t="str">
        <f>_xlfn.DISPIMG("ID_71D53BA6C552425FA0CB1EFAFE1771ED",1)</f>
        <v>=DISPIMG("ID_71D53BA6C552425FA0CB1EFAFE1771ED",1)</v>
      </c>
      <c r="K219" s="10"/>
      <c r="L219" s="137" t="s">
        <v>332</v>
      </c>
    </row>
    <row r="220" ht="64.5" spans="1:16">
      <c r="A220" s="6" t="s">
        <v>330</v>
      </c>
      <c r="B220" s="7">
        <v>46148</v>
      </c>
      <c r="D220" s="137" t="s">
        <v>331</v>
      </c>
      <c r="E220" s="10" t="s">
        <v>77</v>
      </c>
      <c r="F220" s="10">
        <v>12</v>
      </c>
      <c r="G220" s="10">
        <v>2</v>
      </c>
      <c r="H220" s="11">
        <f t="shared" si="9"/>
        <v>24</v>
      </c>
      <c r="I220" s="11" t="s">
        <v>24</v>
      </c>
      <c r="J220" s="10" t="str">
        <f>_xlfn.DISPIMG("ID_6C2EAC70D4D04A48A52CAAB8531A11B8",1)</f>
        <v>=DISPIMG("ID_6C2EAC70D4D04A48A52CAAB8531A11B8",1)</v>
      </c>
      <c r="K220" s="10"/>
      <c r="L220" s="137" t="s">
        <v>332</v>
      </c>
    </row>
    <row r="221" ht="120.15" spans="1:16">
      <c r="A221" s="6" t="s">
        <v>330</v>
      </c>
      <c r="B221" s="7">
        <v>46148</v>
      </c>
      <c r="D221" s="137" t="s">
        <v>331</v>
      </c>
      <c r="E221" s="10" t="s">
        <v>262</v>
      </c>
      <c r="F221" s="10">
        <v>12</v>
      </c>
      <c r="G221" s="10">
        <v>2</v>
      </c>
      <c r="H221" s="11">
        <f t="shared" si="9"/>
        <v>24</v>
      </c>
      <c r="I221" s="11" t="s">
        <v>24</v>
      </c>
      <c r="J221" s="10" t="str">
        <f>_xlfn.DISPIMG("ID_279C3FC5AC1B417A9BBC6533CB5FBBFD",1)</f>
        <v>=DISPIMG("ID_279C3FC5AC1B417A9BBC6533CB5FBBFD",1)</v>
      </c>
      <c r="K221" s="10"/>
      <c r="L221" s="137" t="s">
        <v>332</v>
      </c>
    </row>
    <row r="222" ht="49.5" spans="1:16">
      <c r="A222" s="6" t="s">
        <v>330</v>
      </c>
      <c r="B222" s="7">
        <v>46148</v>
      </c>
      <c r="D222" s="137" t="s">
        <v>331</v>
      </c>
      <c r="E222" s="10" t="s">
        <v>261</v>
      </c>
      <c r="F222" s="10">
        <v>12</v>
      </c>
      <c r="G222" s="10">
        <v>2</v>
      </c>
      <c r="H222" s="11">
        <f t="shared" si="9"/>
        <v>24</v>
      </c>
      <c r="I222" s="11" t="s">
        <v>24</v>
      </c>
      <c r="J222" s="10" t="str">
        <f>_xlfn.DISPIMG("ID_7454B8FAA9FF4A7EA27F0900139739E0",1)</f>
        <v>=DISPIMG("ID_7454B8FAA9FF4A7EA27F0900139739E0",1)</v>
      </c>
      <c r="K222" s="10"/>
      <c r="L222" s="137" t="s">
        <v>332</v>
      </c>
    </row>
    <row r="223" ht="123.5" spans="1:16">
      <c r="A223" s="6" t="s">
        <v>330</v>
      </c>
      <c r="B223" s="7">
        <v>46148</v>
      </c>
      <c r="D223" s="137" t="s">
        <v>331</v>
      </c>
      <c r="E223" s="10" t="s">
        <v>265</v>
      </c>
      <c r="F223" s="10">
        <v>12</v>
      </c>
      <c r="G223" s="10">
        <v>2</v>
      </c>
      <c r="H223" s="11">
        <f t="shared" si="9"/>
        <v>24</v>
      </c>
      <c r="I223" s="11" t="s">
        <v>24</v>
      </c>
      <c r="J223" s="10" t="str">
        <f>_xlfn.DISPIMG("ID_B74EA7AE666A48EFB4893ECCD88DCD09",1)</f>
        <v>=DISPIMG("ID_B74EA7AE666A48EFB4893ECCD88DCD09",1)</v>
      </c>
      <c r="K223" s="10"/>
      <c r="L223" s="137" t="s">
        <v>332</v>
      </c>
    </row>
    <row r="224" ht="99" customHeight="1" spans="1:16">
      <c r="A224" s="6" t="s">
        <v>333</v>
      </c>
      <c r="B224" s="7">
        <v>46148</v>
      </c>
      <c r="D224" s="137" t="s">
        <v>334</v>
      </c>
      <c r="E224" s="10" t="s">
        <v>266</v>
      </c>
      <c r="F224" s="10">
        <v>12</v>
      </c>
      <c r="G224" s="10">
        <v>1</v>
      </c>
      <c r="H224" s="11">
        <f t="shared" si="9"/>
        <v>12</v>
      </c>
      <c r="I224" s="11" t="s">
        <v>24</v>
      </c>
      <c r="J224" s="10" t="str">
        <f>_xlfn.DISPIMG("ID_A44C3C46A6034713AA3A998003189A18",1)</f>
        <v>=DISPIMG("ID_A44C3C46A6034713AA3A998003189A18",1)</v>
      </c>
      <c r="K224" s="10"/>
      <c r="L224" s="137" t="s">
        <v>335</v>
      </c>
    </row>
    <row r="225" ht="99" customHeight="1" spans="1:13">
      <c r="A225" s="6" t="s">
        <v>333</v>
      </c>
      <c r="B225" s="7">
        <v>46148</v>
      </c>
      <c r="D225" s="137" t="s">
        <v>334</v>
      </c>
      <c r="E225" s="10" t="s">
        <v>76</v>
      </c>
      <c r="F225" s="10">
        <v>12</v>
      </c>
      <c r="G225" s="10">
        <v>1</v>
      </c>
      <c r="H225" s="11">
        <f t="shared" si="9"/>
        <v>12</v>
      </c>
      <c r="I225" s="11" t="s">
        <v>24</v>
      </c>
      <c r="J225" s="10" t="str">
        <f>_xlfn.DISPIMG("ID_71D53BA6C552425FA0CB1EFAFE1771ED",1)</f>
        <v>=DISPIMG("ID_71D53BA6C552425FA0CB1EFAFE1771ED",1)</v>
      </c>
      <c r="K225" s="10"/>
      <c r="L225" s="137" t="s">
        <v>335</v>
      </c>
    </row>
    <row r="226" ht="99" customHeight="1" spans="1:13">
      <c r="A226" s="6" t="s">
        <v>333</v>
      </c>
      <c r="B226" s="7">
        <v>46148</v>
      </c>
      <c r="D226" s="137" t="s">
        <v>334</v>
      </c>
      <c r="E226" s="10" t="s">
        <v>77</v>
      </c>
      <c r="F226" s="10">
        <v>12</v>
      </c>
      <c r="G226" s="10">
        <v>1</v>
      </c>
      <c r="H226" s="11">
        <f t="shared" si="9"/>
        <v>12</v>
      </c>
      <c r="I226" s="11" t="s">
        <v>24</v>
      </c>
      <c r="J226" s="10" t="str">
        <f>_xlfn.DISPIMG("ID_6C2EAC70D4D04A48A52CAAB8531A11B8",1)</f>
        <v>=DISPIMG("ID_6C2EAC70D4D04A48A52CAAB8531A11B8",1)</v>
      </c>
      <c r="K226" s="10"/>
      <c r="L226" s="137" t="s">
        <v>335</v>
      </c>
    </row>
    <row r="227" ht="49.5" spans="1:13">
      <c r="A227" s="6" t="s">
        <v>336</v>
      </c>
      <c r="D227" s="137" t="s">
        <v>337</v>
      </c>
      <c r="E227" s="10" t="s">
        <v>261</v>
      </c>
      <c r="F227" s="10">
        <v>12</v>
      </c>
      <c r="G227" s="10">
        <v>20</v>
      </c>
      <c r="H227" s="11">
        <f t="shared" si="9"/>
        <v>240</v>
      </c>
      <c r="I227" s="11" t="s">
        <v>24</v>
      </c>
      <c r="J227" s="10" t="str">
        <f>_xlfn.DISPIMG("ID_7454B8FAA9FF4A7EA27F0900139739E0",1)</f>
        <v>=DISPIMG("ID_7454B8FAA9FF4A7EA27F0900139739E0",1)</v>
      </c>
      <c r="K227" s="10"/>
      <c r="L227" s="137" t="s">
        <v>338</v>
      </c>
    </row>
    <row r="228" spans="1:13">
      <c r="A228" s="6" t="s">
        <v>339</v>
      </c>
      <c r="B228" s="7">
        <v>46133</v>
      </c>
      <c r="D228" s="137" t="s">
        <v>185</v>
      </c>
      <c r="E228" s="10" t="s">
        <v>261</v>
      </c>
      <c r="F228" s="10">
        <v>12</v>
      </c>
      <c r="G228" s="10">
        <v>15</v>
      </c>
      <c r="H228" s="11">
        <f t="shared" si="9"/>
        <v>180</v>
      </c>
      <c r="I228" s="11" t="s">
        <v>24</v>
      </c>
      <c r="J228" s="10"/>
      <c r="K228" s="10"/>
      <c r="L228" s="137"/>
    </row>
    <row r="229" spans="1:13">
      <c r="A229" s="6" t="s">
        <v>339</v>
      </c>
      <c r="B229" s="7">
        <v>46133</v>
      </c>
      <c r="D229" s="137" t="s">
        <v>185</v>
      </c>
      <c r="E229" s="10" t="s">
        <v>262</v>
      </c>
      <c r="F229" s="10">
        <v>12</v>
      </c>
      <c r="G229" s="10">
        <v>15</v>
      </c>
      <c r="H229" s="11">
        <f t="shared" si="9"/>
        <v>180</v>
      </c>
      <c r="I229" s="11" t="s">
        <v>24</v>
      </c>
      <c r="J229" s="10"/>
      <c r="K229" s="10"/>
      <c r="L229" s="137"/>
    </row>
    <row r="230" spans="1:13">
      <c r="A230" s="6" t="s">
        <v>339</v>
      </c>
      <c r="B230" s="7">
        <v>46133</v>
      </c>
      <c r="D230" s="137" t="s">
        <v>185</v>
      </c>
      <c r="E230" s="10" t="s">
        <v>117</v>
      </c>
      <c r="F230" s="10">
        <v>12</v>
      </c>
      <c r="G230" s="10">
        <v>10</v>
      </c>
      <c r="H230" s="11">
        <f t="shared" si="9"/>
        <v>120</v>
      </c>
      <c r="I230" s="11" t="s">
        <v>24</v>
      </c>
      <c r="J230" s="10"/>
      <c r="K230" s="10"/>
      <c r="L230" s="137"/>
    </row>
    <row r="231" ht="120" spans="1:13">
      <c r="A231" s="6" t="s">
        <v>340</v>
      </c>
      <c r="B231" s="7">
        <v>46154</v>
      </c>
      <c r="D231" s="137" t="s">
        <v>70</v>
      </c>
      <c r="E231" s="10" t="s">
        <v>265</v>
      </c>
      <c r="F231" s="10">
        <v>12</v>
      </c>
      <c r="G231" s="10">
        <v>60</v>
      </c>
      <c r="H231" s="11">
        <f t="shared" si="9"/>
        <v>720</v>
      </c>
      <c r="I231" s="11" t="s">
        <v>24</v>
      </c>
      <c r="J231" s="10" t="str">
        <f>_xlfn.DISPIMG("ID_4924500D8EC24EE490F2CB3D8C236146",1)</f>
        <v>=DISPIMG("ID_4924500D8EC24EE490F2CB3D8C236146",1)</v>
      </c>
      <c r="K231" s="143">
        <v>46153</v>
      </c>
      <c r="L231" s="137" t="s">
        <v>341</v>
      </c>
    </row>
    <row r="232" ht="67.5" spans="1:13">
      <c r="A232" s="6" t="s">
        <v>340</v>
      </c>
      <c r="B232" s="7">
        <v>46139</v>
      </c>
      <c r="D232" s="137" t="s">
        <v>70</v>
      </c>
      <c r="E232" s="10" t="s">
        <v>265</v>
      </c>
      <c r="F232" s="10">
        <v>12</v>
      </c>
      <c r="G232" s="10">
        <v>30</v>
      </c>
      <c r="H232" s="11">
        <f t="shared" si="9"/>
        <v>360</v>
      </c>
      <c r="I232" s="11" t="s">
        <v>24</v>
      </c>
      <c r="J232" s="10" t="str">
        <f>_xlfn.DISPIMG("ID_4924500D8EC24EE490F2CB3D8C236146",1)</f>
        <v>=DISPIMG("ID_4924500D8EC24EE490F2CB3D8C236146",1)</v>
      </c>
      <c r="K232" s="10"/>
      <c r="L232" s="137"/>
    </row>
    <row r="233" ht="48.75" spans="1:13">
      <c r="A233" s="6" t="s">
        <v>342</v>
      </c>
      <c r="B233" s="7">
        <v>46138</v>
      </c>
      <c r="D233" s="137" t="s">
        <v>106</v>
      </c>
      <c r="E233" s="10" t="s">
        <v>261</v>
      </c>
      <c r="F233" s="10">
        <v>12</v>
      </c>
      <c r="G233" s="10">
        <v>15</v>
      </c>
      <c r="H233" s="11">
        <f t="shared" si="9"/>
        <v>180</v>
      </c>
      <c r="I233" s="11" t="s">
        <v>24</v>
      </c>
      <c r="J233" s="10" t="str">
        <f>_xlfn.DISPIMG("ID_7454B8FAA9FF4A7EA27F0900139739E0",1)</f>
        <v>=DISPIMG("ID_7454B8FAA9FF4A7EA27F0900139739E0",1)</v>
      </c>
      <c r="L233" s="137" t="s">
        <v>343</v>
      </c>
    </row>
    <row r="234" ht="67.5" spans="1:13">
      <c r="A234" s="6" t="s">
        <v>342</v>
      </c>
      <c r="B234" s="7">
        <v>46138</v>
      </c>
      <c r="D234" s="137" t="s">
        <v>106</v>
      </c>
      <c r="E234" s="10" t="s">
        <v>265</v>
      </c>
      <c r="F234" s="10">
        <v>12</v>
      </c>
      <c r="G234" s="10">
        <v>15</v>
      </c>
      <c r="H234" s="11">
        <f t="shared" si="9"/>
        <v>180</v>
      </c>
      <c r="I234" s="11" t="s">
        <v>24</v>
      </c>
      <c r="J234" s="10" t="str">
        <f>_xlfn.DISPIMG("ID_4924500D8EC24EE490F2CB3D8C236146",1)</f>
        <v>=DISPIMG("ID_4924500D8EC24EE490F2CB3D8C236146",1)</v>
      </c>
      <c r="L234" s="137" t="s">
        <v>344</v>
      </c>
    </row>
    <row r="235" ht="67.5" spans="1:13">
      <c r="A235" s="6" t="s">
        <v>345</v>
      </c>
      <c r="B235" s="7">
        <v>46138</v>
      </c>
      <c r="D235" s="137" t="s">
        <v>145</v>
      </c>
      <c r="E235" s="10" t="s">
        <v>265</v>
      </c>
      <c r="F235" s="10"/>
      <c r="G235" s="10"/>
      <c r="H235" s="11">
        <v>100</v>
      </c>
      <c r="I235" s="11" t="s">
        <v>24</v>
      </c>
      <c r="J235" s="10" t="str">
        <f>_xlfn.DISPIMG("ID_4924500D8EC24EE490F2CB3D8C236146",1)</f>
        <v>=DISPIMG("ID_4924500D8EC24EE490F2CB3D8C236146",1)</v>
      </c>
      <c r="L235" s="137" t="s">
        <v>346</v>
      </c>
    </row>
    <row r="236" spans="1:13">
      <c r="A236" s="6" t="s">
        <v>347</v>
      </c>
      <c r="B236" s="7">
        <v>46135</v>
      </c>
      <c r="D236" s="137" t="s">
        <v>185</v>
      </c>
      <c r="E236" s="10" t="s">
        <v>248</v>
      </c>
      <c r="F236" s="10">
        <v>12</v>
      </c>
      <c r="G236" s="10">
        <v>20</v>
      </c>
      <c r="H236" s="11">
        <f>F236*G236</f>
        <v>240</v>
      </c>
      <c r="I236" s="11" t="s">
        <v>24</v>
      </c>
      <c r="J236" s="10"/>
      <c r="L236" s="137"/>
    </row>
    <row r="237" ht="67.5" spans="1:13">
      <c r="A237" s="6" t="s">
        <v>348</v>
      </c>
      <c r="B237" s="7">
        <v>46146</v>
      </c>
      <c r="D237" s="137" t="s">
        <v>349</v>
      </c>
      <c r="E237" s="10" t="s">
        <v>80</v>
      </c>
      <c r="F237" s="10">
        <v>12</v>
      </c>
      <c r="G237" s="10">
        <v>2</v>
      </c>
      <c r="H237" s="11">
        <f t="shared" ref="H237:H241" si="11">F237*G237</f>
        <v>24</v>
      </c>
      <c r="I237" s="11" t="s">
        <v>24</v>
      </c>
      <c r="J237" s="10" t="str">
        <f>_xlfn.DISPIMG("ID_AB7C2C30A7C9479EAD1A49487B6CD334",1)</f>
        <v>=DISPIMG("ID_AB7C2C30A7C9479EAD1A49487B6CD334",1)</v>
      </c>
      <c r="K237" s="105">
        <v>46146</v>
      </c>
      <c r="L237" s="137" t="s">
        <v>350</v>
      </c>
    </row>
    <row r="238" ht="120.15" spans="1:13">
      <c r="A238" s="6" t="s">
        <v>351</v>
      </c>
      <c r="B238" s="7">
        <v>46166</v>
      </c>
      <c r="D238" s="137" t="s">
        <v>352</v>
      </c>
      <c r="E238" s="10" t="s">
        <v>262</v>
      </c>
      <c r="F238" s="10">
        <v>12</v>
      </c>
      <c r="G238" s="10">
        <v>40</v>
      </c>
      <c r="H238" s="11">
        <f t="shared" si="11"/>
        <v>480</v>
      </c>
      <c r="I238" s="11" t="s">
        <v>24</v>
      </c>
      <c r="J238" s="10" t="str">
        <f>_xlfn.DISPIMG("ID_44CCAF9B84BA461F87517320629D128E",1)</f>
        <v>=DISPIMG("ID_44CCAF9B84BA461F87517320629D128E",1)</v>
      </c>
      <c r="K238" s="10"/>
      <c r="L238" s="137" t="s">
        <v>353</v>
      </c>
    </row>
    <row r="239" ht="167.5" spans="1:13">
      <c r="A239" s="6" t="s">
        <v>354</v>
      </c>
      <c r="B239" s="7">
        <v>46172</v>
      </c>
      <c r="D239" s="137" t="s">
        <v>355</v>
      </c>
      <c r="E239" s="10" t="s">
        <v>261</v>
      </c>
      <c r="F239" s="10">
        <v>12</v>
      </c>
      <c r="G239" s="10">
        <v>50</v>
      </c>
      <c r="H239" s="11">
        <f t="shared" si="11"/>
        <v>600</v>
      </c>
      <c r="I239" s="11" t="s">
        <v>24</v>
      </c>
      <c r="J239" s="10" t="str">
        <f>_xlfn.DISPIMG("ID_A86C5EFAEB6547A8A7F68CB23B904A06",1)</f>
        <v>=DISPIMG("ID_A86C5EFAEB6547A8A7F68CB23B904A06",1)</v>
      </c>
      <c r="K239" s="10"/>
      <c r="L239" s="137"/>
      <c r="M239" s="9" t="str">
        <f>_xlfn.DISPIMG("ID_3C44046A8D6F405C8FB9A66CDC149D36",1)</f>
        <v>=DISPIMG("ID_3C44046A8D6F405C8FB9A66CDC149D36",1)</v>
      </c>
    </row>
    <row r="240" spans="1:13">
      <c r="A240" s="6" t="s">
        <v>356</v>
      </c>
      <c r="B240" s="7">
        <v>46137</v>
      </c>
      <c r="D240" s="137" t="s">
        <v>185</v>
      </c>
      <c r="E240" s="10" t="s">
        <v>261</v>
      </c>
      <c r="F240" s="10">
        <v>12</v>
      </c>
      <c r="G240" s="10">
        <v>150</v>
      </c>
      <c r="H240" s="11">
        <f t="shared" si="11"/>
        <v>1800</v>
      </c>
      <c r="I240" s="11" t="s">
        <v>24</v>
      </c>
      <c r="J240" s="10"/>
      <c r="K240" s="10"/>
      <c r="L240" s="137"/>
    </row>
    <row r="241" spans="1:15">
      <c r="A241" s="6" t="s">
        <v>356</v>
      </c>
      <c r="B241" s="7">
        <v>46137</v>
      </c>
      <c r="D241" s="137" t="s">
        <v>185</v>
      </c>
      <c r="E241" s="10" t="s">
        <v>248</v>
      </c>
      <c r="F241" s="10">
        <v>12</v>
      </c>
      <c r="G241" s="10">
        <v>10</v>
      </c>
      <c r="H241" s="11">
        <f t="shared" si="11"/>
        <v>120</v>
      </c>
      <c r="I241" s="11" t="s">
        <v>24</v>
      </c>
      <c r="J241" s="10"/>
      <c r="K241" s="10"/>
      <c r="L241" s="137"/>
    </row>
    <row r="242" ht="48.75" spans="1:15">
      <c r="A242" s="6" t="s">
        <v>357</v>
      </c>
      <c r="B242" s="7">
        <v>46157</v>
      </c>
      <c r="D242" s="137" t="s">
        <v>358</v>
      </c>
      <c r="E242" s="10" t="s">
        <v>261</v>
      </c>
      <c r="F242" s="10">
        <v>12</v>
      </c>
      <c r="G242" s="10">
        <v>30</v>
      </c>
      <c r="H242" s="11">
        <f t="shared" ref="H242:H254" si="12">F242*G242</f>
        <v>360</v>
      </c>
      <c r="I242" s="11" t="s">
        <v>24</v>
      </c>
      <c r="J242" s="10" t="str">
        <f t="shared" ref="J242:J251" si="13">_xlfn.DISPIMG("ID_EE6426C95D5843D68B0B5E0162D2D2F1",1)</f>
        <v>=DISPIMG("ID_EE6426C95D5843D68B0B5E0162D2D2F1",1)</v>
      </c>
      <c r="K242" s="10" t="s">
        <v>359</v>
      </c>
      <c r="L242" s="137" t="s">
        <v>158</v>
      </c>
    </row>
    <row r="243" ht="130.8" spans="1:15">
      <c r="A243" s="6" t="s">
        <v>357</v>
      </c>
      <c r="B243" s="7">
        <v>46166</v>
      </c>
      <c r="D243" s="137" t="s">
        <v>358</v>
      </c>
      <c r="E243" s="10" t="s">
        <v>76</v>
      </c>
      <c r="F243" s="10">
        <v>12</v>
      </c>
      <c r="G243" s="10">
        <v>30</v>
      </c>
      <c r="H243" s="11">
        <f t="shared" si="12"/>
        <v>360</v>
      </c>
      <c r="I243" s="11" t="s">
        <v>24</v>
      </c>
      <c r="J243" s="10" t="str">
        <f>_xlfn.DISPIMG("ID_395E92DE0A084BDAADC57A5729192192",1)</f>
        <v>=DISPIMG("ID_395E92DE0A084BDAADC57A5729192192",1)</v>
      </c>
      <c r="K243" s="10" t="s">
        <v>359</v>
      </c>
      <c r="L243" s="137" t="s">
        <v>158</v>
      </c>
    </row>
    <row r="244" ht="158.6" spans="1:15">
      <c r="A244" s="6" t="s">
        <v>360</v>
      </c>
      <c r="B244" s="7">
        <v>46177</v>
      </c>
      <c r="D244" s="137" t="s">
        <v>361</v>
      </c>
      <c r="E244" s="10" t="s">
        <v>41</v>
      </c>
      <c r="F244" s="10">
        <v>12</v>
      </c>
      <c r="G244" s="10">
        <v>50</v>
      </c>
      <c r="H244" s="11">
        <f t="shared" si="12"/>
        <v>600</v>
      </c>
      <c r="I244" s="11" t="s">
        <v>24</v>
      </c>
      <c r="J244" s="10" t="str">
        <f t="shared" si="13"/>
        <v>=DISPIMG("ID_EE6426C95D5843D68B0B5E0162D2D2F1",1)</v>
      </c>
      <c r="K244" s="10"/>
      <c r="L244" s="137"/>
      <c r="M244" s="9" t="str">
        <f>_xlfn.DISPIMG("ID_375608283C7D41938FD0FA4A039FFA2D",1)</f>
        <v>=DISPIMG("ID_375608283C7D41938FD0FA4A039FFA2D",1)</v>
      </c>
    </row>
    <row r="245" ht="130.8" spans="1:15">
      <c r="A245" s="6" t="s">
        <v>362</v>
      </c>
      <c r="B245" s="7">
        <v>46154</v>
      </c>
      <c r="D245" s="137" t="s">
        <v>363</v>
      </c>
      <c r="E245" s="10" t="s">
        <v>76</v>
      </c>
      <c r="F245" s="10">
        <v>12</v>
      </c>
      <c r="G245" s="10">
        <v>5</v>
      </c>
      <c r="H245" s="11">
        <f t="shared" si="12"/>
        <v>60</v>
      </c>
      <c r="I245" s="11" t="s">
        <v>24</v>
      </c>
      <c r="J245" s="10" t="str">
        <f>_xlfn.DISPIMG("ID_95EDA3E222C24D7086ADF01A945DF406",1)</f>
        <v>=DISPIMG("ID_95EDA3E222C24D7086ADF01A945DF406",1)</v>
      </c>
      <c r="K245" s="143">
        <v>46157</v>
      </c>
      <c r="L245" s="151" t="s">
        <v>158</v>
      </c>
      <c r="M245" s="114" t="s">
        <v>364</v>
      </c>
      <c r="N245" s="156"/>
    </row>
    <row r="246" ht="120.15" spans="1:15">
      <c r="A246" s="6" t="s">
        <v>362</v>
      </c>
      <c r="B246" s="7">
        <v>46154</v>
      </c>
      <c r="D246" s="137" t="s">
        <v>363</v>
      </c>
      <c r="E246" s="10" t="s">
        <v>262</v>
      </c>
      <c r="F246" s="10">
        <v>12</v>
      </c>
      <c r="G246" s="10">
        <v>5</v>
      </c>
      <c r="H246" s="11">
        <f t="shared" si="12"/>
        <v>60</v>
      </c>
      <c r="I246" s="11" t="s">
        <v>24</v>
      </c>
      <c r="J246" s="10" t="str">
        <f>_xlfn.DISPIMG("ID_44CCAF9B84BA461F87517320629D128E",1)</f>
        <v>=DISPIMG("ID_44CCAF9B84BA461F87517320629D128E",1)</v>
      </c>
      <c r="K246" s="143">
        <v>46157</v>
      </c>
      <c r="L246" s="153"/>
      <c r="M246" s="116"/>
      <c r="N246" s="158"/>
    </row>
    <row r="247" ht="49.5" spans="1:15">
      <c r="A247" s="6" t="s">
        <v>362</v>
      </c>
      <c r="B247" s="7">
        <v>46154</v>
      </c>
      <c r="D247" s="137" t="s">
        <v>363</v>
      </c>
      <c r="E247" s="10" t="s">
        <v>261</v>
      </c>
      <c r="F247" s="10">
        <v>12</v>
      </c>
      <c r="G247" s="10">
        <v>5</v>
      </c>
      <c r="H247" s="11">
        <f t="shared" si="12"/>
        <v>60</v>
      </c>
      <c r="I247" s="11" t="s">
        <v>24</v>
      </c>
      <c r="J247" s="10" t="str">
        <f t="shared" si="13"/>
        <v>=DISPIMG("ID_EE6426C95D5843D68B0B5E0162D2D2F1",1)</v>
      </c>
      <c r="K247" s="143">
        <v>46157</v>
      </c>
      <c r="L247" s="155"/>
      <c r="M247" s="117"/>
      <c r="N247" s="157"/>
    </row>
    <row r="248" ht="211.7" spans="1:15">
      <c r="A248" s="6" t="s">
        <v>365</v>
      </c>
      <c r="B248" s="7">
        <v>46164</v>
      </c>
      <c r="D248" s="137" t="s">
        <v>366</v>
      </c>
      <c r="E248" s="10" t="s">
        <v>41</v>
      </c>
      <c r="F248" s="10">
        <v>12</v>
      </c>
      <c r="G248" s="10">
        <v>150</v>
      </c>
      <c r="H248" s="11">
        <f t="shared" si="12"/>
        <v>1800</v>
      </c>
      <c r="I248" s="11" t="s">
        <v>24</v>
      </c>
      <c r="J248" s="10" t="str">
        <f t="shared" si="13"/>
        <v>=DISPIMG("ID_EE6426C95D5843D68B0B5E0162D2D2F1",1)</v>
      </c>
      <c r="K248" s="143">
        <v>46162</v>
      </c>
      <c r="L248" s="137" t="s">
        <v>367</v>
      </c>
      <c r="M248" s="9" t="str">
        <f>_xlfn.DISPIMG("ID_CC7C528EF77146248E41260D1F48A26A",1)</f>
        <v>=DISPIMG("ID_CC7C528EF77146248E41260D1F48A26A",1)</v>
      </c>
    </row>
    <row r="249" ht="48.75" spans="1:15">
      <c r="A249" s="6" t="s">
        <v>368</v>
      </c>
      <c r="B249" s="7">
        <v>46162</v>
      </c>
      <c r="D249" s="137" t="s">
        <v>369</v>
      </c>
      <c r="E249" s="10" t="s">
        <v>41</v>
      </c>
      <c r="F249" s="10">
        <v>12</v>
      </c>
      <c r="G249" s="10">
        <v>7</v>
      </c>
      <c r="H249" s="11">
        <f t="shared" si="12"/>
        <v>84</v>
      </c>
      <c r="I249" s="11" t="s">
        <v>24</v>
      </c>
      <c r="J249" s="10" t="str">
        <f t="shared" si="13"/>
        <v>=DISPIMG("ID_EE6426C95D5843D68B0B5E0162D2D2F1",1)</v>
      </c>
      <c r="K249" s="10"/>
      <c r="L249" s="137" t="s">
        <v>370</v>
      </c>
    </row>
    <row r="250" ht="48.75" spans="1:15">
      <c r="A250" s="6" t="s">
        <v>368</v>
      </c>
      <c r="B250" s="7">
        <v>46162</v>
      </c>
      <c r="D250" s="137" t="s">
        <v>369</v>
      </c>
      <c r="E250" s="10" t="s">
        <v>41</v>
      </c>
      <c r="F250" s="10">
        <v>12</v>
      </c>
      <c r="G250" s="10">
        <v>10</v>
      </c>
      <c r="H250" s="11">
        <f t="shared" si="12"/>
        <v>120</v>
      </c>
      <c r="I250" s="11" t="s">
        <v>24</v>
      </c>
      <c r="J250" s="10" t="str">
        <f t="shared" si="13"/>
        <v>=DISPIMG("ID_EE6426C95D5843D68B0B5E0162D2D2F1",1)</v>
      </c>
      <c r="K250" s="10"/>
      <c r="L250" s="137" t="s">
        <v>371</v>
      </c>
    </row>
    <row r="251" ht="153.65" spans="1:15">
      <c r="A251" s="6" t="s">
        <v>372</v>
      </c>
      <c r="B251" s="7">
        <v>46149</v>
      </c>
      <c r="D251" s="137" t="s">
        <v>106</v>
      </c>
      <c r="E251" s="10" t="s">
        <v>41</v>
      </c>
      <c r="F251" s="10">
        <v>12</v>
      </c>
      <c r="G251" s="10">
        <v>20</v>
      </c>
      <c r="H251" s="11">
        <f t="shared" si="12"/>
        <v>240</v>
      </c>
      <c r="I251" s="11" t="s">
        <v>24</v>
      </c>
      <c r="J251" s="10" t="str">
        <f t="shared" si="13"/>
        <v>=DISPIMG("ID_EE6426C95D5843D68B0B5E0162D2D2F1",1)</v>
      </c>
      <c r="K251" s="143">
        <v>46149</v>
      </c>
      <c r="L251" s="137" t="s">
        <v>373</v>
      </c>
      <c r="M251" s="9" t="str">
        <f>_xlfn.DISPIMG("ID_92E0E66143CF4F9B80BBE1B4A1B523E6",1)</f>
        <v>=DISPIMG("ID_92E0E66143CF4F9B80BBE1B4A1B523E6",1)</v>
      </c>
      <c r="O251" s="9" t="str">
        <f>_xlfn.DISPIMG("ID_3B4AF36A7FBA441284D42B35C6E0B5E8",1)</f>
        <v>=DISPIMG("ID_3B4AF36A7FBA441284D42B35C6E0B5E8",1)</v>
      </c>
    </row>
    <row r="252" ht="150.1" spans="1:15">
      <c r="A252" s="6" t="s">
        <v>374</v>
      </c>
      <c r="B252" s="7">
        <v>46149</v>
      </c>
      <c r="D252" s="137" t="s">
        <v>203</v>
      </c>
      <c r="E252" s="10" t="s">
        <v>265</v>
      </c>
      <c r="F252" s="10">
        <v>12</v>
      </c>
      <c r="G252" s="10">
        <v>4</v>
      </c>
      <c r="H252" s="11">
        <f t="shared" si="12"/>
        <v>48</v>
      </c>
      <c r="I252" s="11" t="s">
        <v>24</v>
      </c>
      <c r="J252" s="10" t="str">
        <f>_xlfn.DISPIMG("ID_4924500D8EC24EE490F2CB3D8C236146",1)</f>
        <v>=DISPIMG("ID_4924500D8EC24EE490F2CB3D8C236146",1)</v>
      </c>
      <c r="K252" s="10"/>
      <c r="L252" s="137" t="s">
        <v>375</v>
      </c>
      <c r="M252" s="9" t="str">
        <f>_xlfn.DISPIMG("ID_9D05AD88BB2F4DAAA1864BB529FBCAA2",1)</f>
        <v>=DISPIMG("ID_9D05AD88BB2F4DAAA1864BB529FBCAA2",1)</v>
      </c>
      <c r="O252" s="9" t="str">
        <f>_xlfn.DISPIMG("ID_A32C53C5B2CF49B4907E49CADCF6CE50",1)</f>
        <v>=DISPIMG("ID_A32C53C5B2CF49B4907E49CADCF6CE50",1)</v>
      </c>
    </row>
    <row r="253" ht="48.75" spans="1:15">
      <c r="A253" s="6" t="s">
        <v>376</v>
      </c>
      <c r="B253" s="7">
        <v>46140</v>
      </c>
      <c r="D253" s="137" t="s">
        <v>185</v>
      </c>
      <c r="E253" s="10" t="s">
        <v>261</v>
      </c>
      <c r="F253" s="10">
        <v>12</v>
      </c>
      <c r="G253" s="10">
        <v>100</v>
      </c>
      <c r="H253" s="11">
        <f t="shared" si="12"/>
        <v>1200</v>
      </c>
      <c r="I253" s="11" t="s">
        <v>24</v>
      </c>
      <c r="J253" s="10" t="str">
        <f t="shared" ref="J253:J257" si="14">_xlfn.DISPIMG("ID_EE6426C95D5843D68B0B5E0162D2D2F1",1)</f>
        <v>=DISPIMG("ID_EE6426C95D5843D68B0B5E0162D2D2F1",1)</v>
      </c>
      <c r="K253" s="10"/>
      <c r="L253" s="137"/>
    </row>
    <row r="254" ht="48.75" spans="1:15">
      <c r="A254" s="6" t="s">
        <v>377</v>
      </c>
      <c r="B254" s="7">
        <v>46151</v>
      </c>
      <c r="D254" s="137" t="s">
        <v>315</v>
      </c>
      <c r="E254" s="10" t="s">
        <v>261</v>
      </c>
      <c r="F254" s="10">
        <v>12</v>
      </c>
      <c r="G254" s="10">
        <v>2</v>
      </c>
      <c r="H254" s="11">
        <f t="shared" si="12"/>
        <v>24</v>
      </c>
      <c r="I254" s="11" t="s">
        <v>24</v>
      </c>
      <c r="J254" s="10" t="str">
        <f t="shared" si="14"/>
        <v>=DISPIMG("ID_EE6426C95D5843D68B0B5E0162D2D2F1",1)</v>
      </c>
      <c r="L254" s="10" t="s">
        <v>158</v>
      </c>
    </row>
    <row r="255" ht="120.15" spans="1:15">
      <c r="A255" s="6" t="s">
        <v>377</v>
      </c>
      <c r="B255" s="7">
        <v>46151</v>
      </c>
      <c r="D255" s="137" t="s">
        <v>315</v>
      </c>
      <c r="E255" s="9" t="s">
        <v>262</v>
      </c>
      <c r="F255" s="10">
        <v>12</v>
      </c>
      <c r="G255" s="10">
        <v>2</v>
      </c>
      <c r="H255" s="11">
        <f t="shared" ref="H255:H261" si="15">F255*G255</f>
        <v>24</v>
      </c>
      <c r="I255" s="11" t="s">
        <v>24</v>
      </c>
      <c r="J255" s="9" t="str">
        <f>_xlfn.DISPIMG("ID_F86C826B3C2445C69725D700B5ED3814",1)</f>
        <v>=DISPIMG("ID_F86C826B3C2445C69725D700B5ED3814",1)</v>
      </c>
      <c r="L255" s="10" t="s">
        <v>158</v>
      </c>
    </row>
    <row r="256" ht="68.25" spans="1:15">
      <c r="A256" s="6" t="s">
        <v>377</v>
      </c>
      <c r="B256" s="7">
        <v>46151</v>
      </c>
      <c r="D256" s="137" t="s">
        <v>315</v>
      </c>
      <c r="E256" s="9" t="s">
        <v>265</v>
      </c>
      <c r="F256" s="10">
        <v>12</v>
      </c>
      <c r="G256" s="10">
        <v>2</v>
      </c>
      <c r="H256" s="11">
        <f t="shared" si="15"/>
        <v>24</v>
      </c>
      <c r="I256" s="11" t="s">
        <v>24</v>
      </c>
      <c r="J256" s="10" t="str">
        <f>_xlfn.DISPIMG("ID_4924500D8EC24EE490F2CB3D8C236146",1)</f>
        <v>=DISPIMG("ID_4924500D8EC24EE490F2CB3D8C236146",1)</v>
      </c>
      <c r="L256" s="10" t="s">
        <v>158</v>
      </c>
    </row>
    <row r="257" ht="141.75" spans="1:13">
      <c r="A257" s="6" t="s">
        <v>378</v>
      </c>
      <c r="D257" s="8" t="s">
        <v>379</v>
      </c>
      <c r="E257" s="9" t="s">
        <v>41</v>
      </c>
      <c r="F257" s="10">
        <v>12</v>
      </c>
      <c r="G257" s="10">
        <v>60</v>
      </c>
      <c r="H257" s="11">
        <f t="shared" si="15"/>
        <v>720</v>
      </c>
      <c r="I257" s="11" t="s">
        <v>24</v>
      </c>
      <c r="J257" s="10" t="str">
        <f t="shared" si="14"/>
        <v>=DISPIMG("ID_EE6426C95D5843D68B0B5E0162D2D2F1",1)</v>
      </c>
      <c r="K257" s="105">
        <v>46160</v>
      </c>
      <c r="L257" s="8" t="s">
        <v>380</v>
      </c>
      <c r="M257" s="9" t="str">
        <f>_xlfn.DISPIMG("ID_93E60A81BA784E158FBDA41FC1BC9DC4",1)</f>
        <v>=DISPIMG("ID_93E60A81BA784E158FBDA41FC1BC9DC4",1)</v>
      </c>
    </row>
    <row r="258" ht="68.25" spans="1:13">
      <c r="A258" s="6" t="s">
        <v>381</v>
      </c>
      <c r="B258" s="7">
        <v>46151</v>
      </c>
      <c r="D258" s="8" t="s">
        <v>244</v>
      </c>
      <c r="E258" s="9" t="s">
        <v>285</v>
      </c>
      <c r="F258" s="10">
        <v>12</v>
      </c>
      <c r="G258" s="10">
        <v>30</v>
      </c>
      <c r="H258" s="11">
        <f t="shared" si="15"/>
        <v>360</v>
      </c>
      <c r="I258" s="11" t="s">
        <v>24</v>
      </c>
      <c r="J258" s="9" t="str">
        <f>_xlfn.DISPIMG("ID_CDD071C101544A47A1AEFEA0A1FF2632",1)</f>
        <v>=DISPIMG("ID_CDD071C101544A47A1AEFEA0A1FF2632",1)</v>
      </c>
      <c r="L258" s="9" t="s">
        <v>158</v>
      </c>
    </row>
    <row r="259" ht="188" customHeight="1" spans="1:13">
      <c r="A259" s="6" t="s">
        <v>382</v>
      </c>
      <c r="B259" s="7">
        <v>46210</v>
      </c>
      <c r="D259" s="8" t="s">
        <v>383</v>
      </c>
      <c r="E259" s="9" t="s">
        <v>41</v>
      </c>
      <c r="F259" s="10">
        <v>12</v>
      </c>
      <c r="G259" s="10">
        <v>80</v>
      </c>
      <c r="H259" s="11">
        <f t="shared" si="15"/>
        <v>960</v>
      </c>
      <c r="I259" s="11" t="s">
        <v>24</v>
      </c>
      <c r="J259" s="10" t="str">
        <f>_xlfn.DISPIMG("ID_EE6426C95D5843D68B0B5E0162D2D2F1",1)</f>
        <v>=DISPIMG("ID_EE6426C95D5843D68B0B5E0162D2D2F1",1)</v>
      </c>
      <c r="K259" s="105">
        <v>46186</v>
      </c>
      <c r="L259" s="8" t="s">
        <v>384</v>
      </c>
      <c r="M259" s="9" t="str">
        <f>_xlfn.DISPIMG("ID_E47B870BADA6489C8DE146B3D558D720",1)</f>
        <v>=DISPIMG("ID_E47B870BADA6489C8DE146B3D558D720",1)</v>
      </c>
    </row>
    <row r="260" spans="1:13">
      <c r="A260" s="6" t="s">
        <v>382</v>
      </c>
      <c r="B260" s="7">
        <v>46195</v>
      </c>
      <c r="D260" s="8" t="s">
        <v>383</v>
      </c>
      <c r="E260" s="9" t="s">
        <v>41</v>
      </c>
      <c r="F260" s="10">
        <v>12</v>
      </c>
      <c r="G260" s="10">
        <v>220</v>
      </c>
      <c r="H260" s="11">
        <f t="shared" si="15"/>
        <v>2640</v>
      </c>
      <c r="I260" s="11" t="s">
        <v>24</v>
      </c>
      <c r="K260" s="105"/>
    </row>
    <row r="261" spans="1:13">
      <c r="A261" s="6" t="s">
        <v>382</v>
      </c>
      <c r="B261" s="7">
        <v>46201</v>
      </c>
      <c r="D261" s="8" t="s">
        <v>383</v>
      </c>
      <c r="E261" s="9" t="s">
        <v>261</v>
      </c>
      <c r="F261" s="10">
        <v>12</v>
      </c>
      <c r="G261" s="10">
        <v>100</v>
      </c>
      <c r="H261" s="11">
        <f t="shared" si="15"/>
        <v>1200</v>
      </c>
      <c r="I261" s="11" t="s">
        <v>24</v>
      </c>
      <c r="K261" s="105"/>
    </row>
    <row r="262" ht="227.2" spans="1:13">
      <c r="A262" s="6" t="s">
        <v>382</v>
      </c>
      <c r="B262" s="7">
        <v>46195</v>
      </c>
      <c r="D262" s="8" t="s">
        <v>383</v>
      </c>
      <c r="E262" s="9" t="s">
        <v>265</v>
      </c>
      <c r="F262" s="10">
        <v>12</v>
      </c>
      <c r="G262" s="10">
        <v>80</v>
      </c>
      <c r="H262" s="11">
        <f t="shared" ref="H262:H283" si="16">F262*G262</f>
        <v>960</v>
      </c>
      <c r="I262" s="11" t="s">
        <v>24</v>
      </c>
      <c r="J262" s="9" t="str">
        <f>_xlfn.DISPIMG("ID_EBACFA3B7810494C895318E21360CC99",1)</f>
        <v>=DISPIMG("ID_EBACFA3B7810494C895318E21360CC99",1)</v>
      </c>
      <c r="K262" s="105">
        <v>46186</v>
      </c>
      <c r="L262" s="8" t="s">
        <v>385</v>
      </c>
      <c r="M262" s="9" t="str">
        <f>_xlfn.DISPIMG("ID_E47B870BADA6489C8DE146B3D558D720",1)</f>
        <v>=DISPIMG("ID_E47B870BADA6489C8DE146B3D558D720",1)</v>
      </c>
    </row>
    <row r="263" ht="227.2" spans="1:13">
      <c r="A263" s="6" t="s">
        <v>382</v>
      </c>
      <c r="B263" s="7">
        <v>46172</v>
      </c>
      <c r="D263" s="8" t="s">
        <v>383</v>
      </c>
      <c r="E263" s="9" t="s">
        <v>386</v>
      </c>
      <c r="F263" s="10">
        <v>12</v>
      </c>
      <c r="G263" s="10">
        <v>20</v>
      </c>
      <c r="H263" s="11">
        <f t="shared" si="16"/>
        <v>240</v>
      </c>
      <c r="I263" s="11" t="s">
        <v>24</v>
      </c>
      <c r="J263" s="9" t="str">
        <f>_xlfn.DISPIMG("ID_EDC33736CAEE4E77BECF48E161696FBD",1)</f>
        <v>=DISPIMG("ID_EDC33736CAEE4E77BECF48E161696FBD",1)</v>
      </c>
      <c r="L263" s="8" t="s">
        <v>385</v>
      </c>
      <c r="M263" s="9" t="str">
        <f>_xlfn.DISPIMG("ID_E47B870BADA6489C8DE146B3D558D720",1)</f>
        <v>=DISPIMG("ID_E47B870BADA6489C8DE146B3D558D720",1)</v>
      </c>
    </row>
    <row r="264" ht="227.2" spans="1:13">
      <c r="A264" s="6" t="s">
        <v>382</v>
      </c>
      <c r="B264" s="7">
        <v>46172</v>
      </c>
      <c r="D264" s="8" t="s">
        <v>383</v>
      </c>
      <c r="E264" s="9" t="s">
        <v>74</v>
      </c>
      <c r="F264" s="10">
        <v>12</v>
      </c>
      <c r="G264" s="10">
        <v>30</v>
      </c>
      <c r="H264" s="11">
        <f t="shared" si="16"/>
        <v>360</v>
      </c>
      <c r="I264" s="11" t="s">
        <v>24</v>
      </c>
      <c r="J264" s="9" t="str">
        <f>_xlfn.DISPIMG("ID_8AA16C2A98B74CB3B9E58F922F6538CF",1)</f>
        <v>=DISPIMG("ID_8AA16C2A98B74CB3B9E58F922F6538CF",1)</v>
      </c>
      <c r="L264" s="8" t="s">
        <v>385</v>
      </c>
      <c r="M264" s="9" t="str">
        <f>_xlfn.DISPIMG("ID_E47B870BADA6489C8DE146B3D558D720",1)</f>
        <v>=DISPIMG("ID_E47B870BADA6489C8DE146B3D558D720",1)</v>
      </c>
    </row>
    <row r="265" ht="227.2" spans="1:13">
      <c r="A265" s="6" t="s">
        <v>382</v>
      </c>
      <c r="B265" s="7">
        <v>46187</v>
      </c>
      <c r="D265" s="8" t="s">
        <v>383</v>
      </c>
      <c r="E265" s="9" t="s">
        <v>76</v>
      </c>
      <c r="F265" s="10">
        <v>12</v>
      </c>
      <c r="G265" s="10">
        <v>50</v>
      </c>
      <c r="H265" s="11">
        <f t="shared" si="16"/>
        <v>600</v>
      </c>
      <c r="I265" s="11" t="s">
        <v>24</v>
      </c>
      <c r="J265" s="9" t="str">
        <f>_xlfn.DISPIMG("ID_39A14D0FFD9341798B1BB11C472B74E4",1)</f>
        <v>=DISPIMG("ID_39A14D0FFD9341798B1BB11C472B74E4",1)</v>
      </c>
      <c r="K265" s="105">
        <v>46186</v>
      </c>
      <c r="L265" s="8" t="s">
        <v>385</v>
      </c>
      <c r="M265" s="9" t="str">
        <f>_xlfn.DISPIMG("ID_E47B870BADA6489C8DE146B3D558D720",1)</f>
        <v>=DISPIMG("ID_E47B870BADA6489C8DE146B3D558D720",1)</v>
      </c>
    </row>
    <row r="266" ht="67.5" spans="1:13">
      <c r="A266" s="6" t="s">
        <v>387</v>
      </c>
      <c r="D266" s="8" t="s">
        <v>388</v>
      </c>
      <c r="E266" s="9" t="s">
        <v>262</v>
      </c>
      <c r="F266" s="10">
        <v>12</v>
      </c>
      <c r="G266" s="10">
        <v>8</v>
      </c>
      <c r="H266" s="11">
        <f t="shared" si="16"/>
        <v>96</v>
      </c>
      <c r="I266" s="11" t="s">
        <v>24</v>
      </c>
      <c r="J266" s="9" t="str">
        <f>_xlfn.DISPIMG("ID_5127CF4D79714A5C955E8FF69A5E52F4",1)</f>
        <v>=DISPIMG("ID_5127CF4D79714A5C955E8FF69A5E52F4",1)</v>
      </c>
      <c r="L266" s="8" t="s">
        <v>389</v>
      </c>
    </row>
    <row r="267" ht="68.25" spans="1:13">
      <c r="A267" s="6" t="s">
        <v>387</v>
      </c>
      <c r="B267" s="7">
        <v>46162</v>
      </c>
      <c r="D267" s="8" t="s">
        <v>388</v>
      </c>
      <c r="E267" s="9" t="s">
        <v>76</v>
      </c>
      <c r="F267" s="10">
        <v>12</v>
      </c>
      <c r="G267" s="10">
        <v>15</v>
      </c>
      <c r="H267" s="11">
        <f t="shared" si="16"/>
        <v>180</v>
      </c>
      <c r="I267" s="11" t="s">
        <v>24</v>
      </c>
      <c r="J267" s="9" t="str">
        <f>_xlfn.DISPIMG("ID_39A14D0FFD9341798B1BB11C472B74E4",1)</f>
        <v>=DISPIMG("ID_39A14D0FFD9341798B1BB11C472B74E4",1)</v>
      </c>
      <c r="L267" s="8" t="s">
        <v>389</v>
      </c>
    </row>
    <row r="268" ht="87.6" spans="1:13">
      <c r="A268" s="6" t="s">
        <v>390</v>
      </c>
      <c r="B268" s="7">
        <v>46159</v>
      </c>
      <c r="D268" s="8" t="s">
        <v>391</v>
      </c>
      <c r="E268" s="9" t="s">
        <v>261</v>
      </c>
      <c r="F268" s="10">
        <v>12</v>
      </c>
      <c r="G268" s="10">
        <v>10</v>
      </c>
      <c r="H268" s="11">
        <f t="shared" si="16"/>
        <v>120</v>
      </c>
      <c r="I268" s="11" t="s">
        <v>24</v>
      </c>
      <c r="J268" s="10" t="str">
        <f t="shared" ref="J268:J271" si="17">_xlfn.DISPIMG("ID_EE6426C95D5843D68B0B5E0162D2D2F1",1)</f>
        <v>=DISPIMG("ID_EE6426C95D5843D68B0B5E0162D2D2F1",1)</v>
      </c>
      <c r="L268" s="8" t="s">
        <v>392</v>
      </c>
    </row>
    <row r="269" ht="70" customHeight="1" spans="1:13">
      <c r="A269" s="6" t="s">
        <v>393</v>
      </c>
      <c r="B269" s="7">
        <v>46191</v>
      </c>
      <c r="D269" s="8" t="s">
        <v>394</v>
      </c>
      <c r="E269" s="9" t="s">
        <v>261</v>
      </c>
      <c r="F269" s="10">
        <v>12</v>
      </c>
      <c r="G269" s="10">
        <v>2</v>
      </c>
      <c r="H269" s="11">
        <f t="shared" si="16"/>
        <v>24</v>
      </c>
      <c r="I269" s="11" t="s">
        <v>24</v>
      </c>
      <c r="J269" s="10" t="str">
        <f t="shared" si="17"/>
        <v>=DISPIMG("ID_EE6426C95D5843D68B0B5E0162D2D2F1",1)</v>
      </c>
      <c r="L269" s="8" t="s">
        <v>395</v>
      </c>
    </row>
    <row r="270" ht="49.5" spans="1:13">
      <c r="A270" s="6" t="s">
        <v>396</v>
      </c>
      <c r="B270" s="7">
        <v>46177</v>
      </c>
      <c r="D270" s="8" t="s">
        <v>397</v>
      </c>
      <c r="E270" s="9" t="s">
        <v>261</v>
      </c>
      <c r="F270" s="10">
        <v>12</v>
      </c>
      <c r="G270" s="10">
        <v>10</v>
      </c>
      <c r="H270" s="11">
        <f t="shared" si="16"/>
        <v>120</v>
      </c>
      <c r="I270" s="11" t="s">
        <v>24</v>
      </c>
      <c r="J270" s="10" t="str">
        <f t="shared" si="17"/>
        <v>=DISPIMG("ID_EE6426C95D5843D68B0B5E0162D2D2F1",1)</v>
      </c>
      <c r="L270" s="8" t="s">
        <v>398</v>
      </c>
    </row>
    <row r="271" ht="48.75" spans="1:13">
      <c r="A271" s="6" t="s">
        <v>399</v>
      </c>
      <c r="B271" s="7">
        <v>46159</v>
      </c>
      <c r="D271" s="8" t="s">
        <v>400</v>
      </c>
      <c r="E271" s="9" t="s">
        <v>261</v>
      </c>
      <c r="F271" s="10">
        <v>12</v>
      </c>
      <c r="G271" s="10">
        <v>10</v>
      </c>
      <c r="H271" s="11">
        <f t="shared" si="16"/>
        <v>120</v>
      </c>
      <c r="I271" s="11" t="s">
        <v>24</v>
      </c>
      <c r="J271" s="10" t="str">
        <f t="shared" si="17"/>
        <v>=DISPIMG("ID_EE6426C95D5843D68B0B5E0162D2D2F1",1)</v>
      </c>
      <c r="K271" s="105">
        <v>46158</v>
      </c>
      <c r="L271" s="8" t="s">
        <v>401</v>
      </c>
    </row>
    <row r="272" spans="1:13">
      <c r="A272" s="6" t="s">
        <v>402</v>
      </c>
      <c r="B272" s="7">
        <v>46148</v>
      </c>
      <c r="D272" s="8" t="s">
        <v>403</v>
      </c>
      <c r="E272" s="9" t="s">
        <v>248</v>
      </c>
      <c r="F272" s="10">
        <v>12</v>
      </c>
      <c r="G272" s="10">
        <v>5</v>
      </c>
      <c r="H272" s="11">
        <f t="shared" si="16"/>
        <v>60</v>
      </c>
      <c r="I272" s="11" t="s">
        <v>24</v>
      </c>
    </row>
    <row r="273" spans="1:17">
      <c r="A273" s="6" t="s">
        <v>402</v>
      </c>
      <c r="B273" s="7">
        <v>46148</v>
      </c>
      <c r="D273" s="8" t="s">
        <v>403</v>
      </c>
      <c r="E273" s="9" t="s">
        <v>265</v>
      </c>
      <c r="F273" s="10">
        <v>12</v>
      </c>
      <c r="G273" s="10">
        <v>5</v>
      </c>
      <c r="H273" s="11">
        <f t="shared" si="16"/>
        <v>60</v>
      </c>
      <c r="I273" s="11" t="s">
        <v>24</v>
      </c>
    </row>
    <row r="274" ht="66.75" spans="1:17">
      <c r="A274" s="6" t="s">
        <v>402</v>
      </c>
      <c r="B274" s="7">
        <v>46154</v>
      </c>
      <c r="D274" s="8" t="s">
        <v>404</v>
      </c>
      <c r="E274" s="9" t="s">
        <v>262</v>
      </c>
      <c r="F274" s="10">
        <v>12</v>
      </c>
      <c r="G274" s="10">
        <v>10</v>
      </c>
      <c r="H274" s="11">
        <f t="shared" si="16"/>
        <v>120</v>
      </c>
      <c r="I274" s="11" t="s">
        <v>24</v>
      </c>
      <c r="J274" s="9" t="str">
        <f>_xlfn.DISPIMG("ID_5127CF4D79714A5C955E8FF69A5E52F4",1)</f>
        <v>=DISPIMG("ID_5127CF4D79714A5C955E8FF69A5E52F4",1)</v>
      </c>
      <c r="K274" s="105">
        <v>46160</v>
      </c>
      <c r="L274" s="8" t="s">
        <v>405</v>
      </c>
    </row>
    <row r="275" ht="49.5" spans="1:17">
      <c r="A275" s="6" t="s">
        <v>406</v>
      </c>
      <c r="B275" s="7">
        <v>46154</v>
      </c>
      <c r="D275" s="8" t="s">
        <v>404</v>
      </c>
      <c r="E275" s="9" t="s">
        <v>261</v>
      </c>
      <c r="F275" s="10">
        <v>12</v>
      </c>
      <c r="G275" s="10">
        <v>20</v>
      </c>
      <c r="H275" s="11">
        <f t="shared" si="16"/>
        <v>240</v>
      </c>
      <c r="I275" s="11" t="s">
        <v>24</v>
      </c>
      <c r="J275" s="9" t="str">
        <f>_xlfn.DISPIMG("ID_64A385AA73984E7E98662817788FFA8F",1)</f>
        <v>=DISPIMG("ID_64A385AA73984E7E98662817788FFA8F",1)</v>
      </c>
      <c r="K275" s="105">
        <v>46160</v>
      </c>
      <c r="L275" s="8" t="s">
        <v>405</v>
      </c>
    </row>
    <row r="276" ht="156.85" spans="1:17">
      <c r="A276" s="6" t="s">
        <v>406</v>
      </c>
      <c r="B276" s="7">
        <v>46154</v>
      </c>
      <c r="D276" s="8" t="s">
        <v>404</v>
      </c>
      <c r="E276" s="9" t="s">
        <v>265</v>
      </c>
      <c r="F276" s="10">
        <v>12</v>
      </c>
      <c r="G276" s="10">
        <v>6</v>
      </c>
      <c r="H276" s="11">
        <f t="shared" si="16"/>
        <v>72</v>
      </c>
      <c r="I276" s="11" t="s">
        <v>24</v>
      </c>
      <c r="J276" s="9" t="str">
        <f>_xlfn.DISPIMG("ID_62A85848A9A74B29B716025573822A9E",1)</f>
        <v>=DISPIMG("ID_62A85848A9A74B29B716025573822A9E",1)</v>
      </c>
      <c r="K276" s="105">
        <v>46160</v>
      </c>
      <c r="L276" s="8" t="s">
        <v>405</v>
      </c>
    </row>
    <row r="277" ht="66" spans="1:17">
      <c r="A277" s="6" t="s">
        <v>407</v>
      </c>
      <c r="B277" s="7">
        <v>46148</v>
      </c>
      <c r="D277" s="8" t="s">
        <v>408</v>
      </c>
      <c r="E277" s="9" t="s">
        <v>409</v>
      </c>
      <c r="F277" s="10">
        <v>12</v>
      </c>
      <c r="G277" s="10">
        <v>2</v>
      </c>
      <c r="H277" s="11">
        <f t="shared" si="16"/>
        <v>24</v>
      </c>
      <c r="I277" s="11" t="s">
        <v>24</v>
      </c>
      <c r="J277" s="9" t="str">
        <f>_xlfn.DISPIMG("ID_C26101BE94C3434B9E3390695F5FA6F2",1)</f>
        <v>=DISPIMG("ID_C26101BE94C3434B9E3390695F5FA6F2",1)</v>
      </c>
    </row>
    <row r="278" ht="66" spans="1:17">
      <c r="A278" s="6" t="s">
        <v>410</v>
      </c>
      <c r="D278" s="8" t="s">
        <v>106</v>
      </c>
      <c r="E278" s="9" t="s">
        <v>89</v>
      </c>
      <c r="F278" s="10">
        <v>12</v>
      </c>
      <c r="G278" s="10">
        <v>4</v>
      </c>
      <c r="H278" s="11">
        <f t="shared" si="16"/>
        <v>48</v>
      </c>
      <c r="I278" s="11" t="s">
        <v>24</v>
      </c>
      <c r="J278" s="9" t="str">
        <f>_xlfn.DISPIMG("ID_C26101BE94C3434B9E3390695F5FA6F2",1)</f>
        <v>=DISPIMG("ID_C26101BE94C3434B9E3390695F5FA6F2",1)</v>
      </c>
      <c r="L278" s="159"/>
      <c r="N278" s="160"/>
      <c r="O278" s="160"/>
      <c r="P278" s="160"/>
      <c r="Q278" s="159"/>
    </row>
    <row r="279" ht="67.5" spans="1:17">
      <c r="A279" s="6" t="s">
        <v>410</v>
      </c>
      <c r="D279" s="8" t="s">
        <v>106</v>
      </c>
      <c r="E279" s="9" t="s">
        <v>117</v>
      </c>
      <c r="F279" s="10">
        <v>12</v>
      </c>
      <c r="G279" s="10">
        <v>1</v>
      </c>
      <c r="H279" s="11">
        <f t="shared" si="16"/>
        <v>12</v>
      </c>
      <c r="I279" s="11" t="s">
        <v>24</v>
      </c>
      <c r="J279" s="9" t="str">
        <f>_xlfn.DISPIMG("ID_39A14D0FFD9341798B1BB11C472B74E4",1)</f>
        <v>=DISPIMG("ID_39A14D0FFD9341798B1BB11C472B74E4",1)</v>
      </c>
      <c r="L279" s="159"/>
      <c r="N279" s="160"/>
      <c r="O279" s="160"/>
      <c r="P279" s="160"/>
      <c r="Q279" s="159"/>
    </row>
    <row r="280" ht="88.5" spans="1:17">
      <c r="A280" s="6" t="s">
        <v>411</v>
      </c>
      <c r="D280" s="8" t="s">
        <v>213</v>
      </c>
      <c r="E280" s="9" t="s">
        <v>261</v>
      </c>
      <c r="F280" s="10">
        <v>12</v>
      </c>
      <c r="G280" s="10">
        <v>2</v>
      </c>
      <c r="H280" s="11">
        <f t="shared" si="16"/>
        <v>24</v>
      </c>
      <c r="I280" s="11" t="s">
        <v>24</v>
      </c>
      <c r="J280" s="9" t="str">
        <f>_xlfn.DISPIMG("ID_64A385AA73984E7E98662817788FFA8F",1)</f>
        <v>=DISPIMG("ID_64A385AA73984E7E98662817788FFA8F",1)</v>
      </c>
      <c r="L280" s="159"/>
      <c r="M280" s="9" t="str">
        <f>_xlfn.DISPIMG("ID_1FCE4503B54B480BB1D2CBC5A4470E24",1)</f>
        <v>=DISPIMG("ID_1FCE4503B54B480BB1D2CBC5A4470E24",1)</v>
      </c>
      <c r="N280" s="160"/>
      <c r="O280" s="160"/>
      <c r="P280" s="160"/>
      <c r="Q280" s="159"/>
    </row>
    <row r="281" ht="90" spans="1:17">
      <c r="A281" s="6" t="s">
        <v>411</v>
      </c>
      <c r="D281" s="8" t="s">
        <v>213</v>
      </c>
      <c r="E281" s="9" t="s">
        <v>301</v>
      </c>
      <c r="F281" s="10">
        <v>12</v>
      </c>
      <c r="G281" s="10">
        <v>2</v>
      </c>
      <c r="H281" s="11">
        <f t="shared" si="16"/>
        <v>24</v>
      </c>
      <c r="I281" s="11" t="s">
        <v>24</v>
      </c>
      <c r="J281" s="9" t="str">
        <f>_xlfn.DISPIMG("ID_64A385AA73984E7E98662817788FFA8F",1)</f>
        <v>=DISPIMG("ID_64A385AA73984E7E98662817788FFA8F",1)</v>
      </c>
      <c r="L281" s="159"/>
      <c r="M281" s="9" t="str">
        <f>_xlfn.DISPIMG("ID_F10FFD9439DD4A0FA619E379252F4325",1)</f>
        <v>=DISPIMG("ID_F10FFD9439DD4A0FA619E379252F4325",1)</v>
      </c>
      <c r="N281" s="160"/>
      <c r="O281" s="160"/>
      <c r="P281" s="160"/>
      <c r="Q281" s="159"/>
    </row>
    <row r="282" ht="204.85" spans="1:17">
      <c r="A282" s="6" t="s">
        <v>412</v>
      </c>
      <c r="B282" s="7">
        <v>46188</v>
      </c>
      <c r="D282" s="8" t="s">
        <v>211</v>
      </c>
      <c r="E282" s="9" t="s">
        <v>261</v>
      </c>
      <c r="F282" s="10">
        <v>12</v>
      </c>
      <c r="G282" s="10">
        <v>100</v>
      </c>
      <c r="H282" s="11">
        <f t="shared" ref="H282:H291" si="18">F282*G282</f>
        <v>1200</v>
      </c>
      <c r="I282" s="11" t="s">
        <v>24</v>
      </c>
      <c r="J282" s="9" t="str">
        <f>_xlfn.DISPIMG("ID_64A385AA73984E7E98662817788FFA8F",1)</f>
        <v>=DISPIMG("ID_64A385AA73984E7E98662817788FFA8F",1)</v>
      </c>
      <c r="L282" s="161" t="s">
        <v>413</v>
      </c>
      <c r="M282" s="9" t="str">
        <f>_xlfn.DISPIMG("ID_73A303BBA2984D80B9A1DFBABC2178BF",1)</f>
        <v>=DISPIMG("ID_73A303BBA2984D80B9A1DFBABC2178BF",1)</v>
      </c>
      <c r="N282" s="162"/>
      <c r="O282" s="161"/>
      <c r="P282" s="161"/>
      <c r="Q282" s="159"/>
    </row>
    <row r="283" ht="204.85" spans="1:17">
      <c r="A283" s="6" t="s">
        <v>412</v>
      </c>
      <c r="B283" s="7">
        <v>46188</v>
      </c>
      <c r="D283" s="8" t="s">
        <v>211</v>
      </c>
      <c r="E283" s="9" t="s">
        <v>262</v>
      </c>
      <c r="F283" s="10">
        <v>12</v>
      </c>
      <c r="G283" s="10">
        <v>25</v>
      </c>
      <c r="H283" s="11">
        <f t="shared" si="18"/>
        <v>300</v>
      </c>
      <c r="I283" s="11" t="s">
        <v>24</v>
      </c>
      <c r="J283" s="9" t="str">
        <f>_xlfn.DISPIMG("ID_5127CF4D79714A5C955E8FF69A5E52F4",1)</f>
        <v>=DISPIMG("ID_5127CF4D79714A5C955E8FF69A5E52F4",1)</v>
      </c>
      <c r="L283" s="8" t="s">
        <v>414</v>
      </c>
      <c r="M283" s="9" t="str">
        <f>_xlfn.DISPIMG("ID_73A303BBA2984D80B9A1DFBABC2178BF",1)</f>
        <v>=DISPIMG("ID_73A303BBA2984D80B9A1DFBABC2178BF",1)</v>
      </c>
    </row>
    <row r="284" ht="328.6" spans="1:17">
      <c r="A284" s="6" t="s">
        <v>415</v>
      </c>
      <c r="B284" s="7">
        <v>46177</v>
      </c>
      <c r="D284" s="8" t="s">
        <v>176</v>
      </c>
      <c r="E284" s="9" t="s">
        <v>261</v>
      </c>
      <c r="F284" s="10">
        <v>12</v>
      </c>
      <c r="G284" s="10">
        <v>100</v>
      </c>
      <c r="H284" s="11">
        <f t="shared" si="18"/>
        <v>1200</v>
      </c>
      <c r="I284" s="11" t="s">
        <v>24</v>
      </c>
      <c r="J284" s="9" t="str">
        <f>_xlfn.DISPIMG("ID_64A385AA73984E7E98662817788FFA8F",1)</f>
        <v>=DISPIMG("ID_64A385AA73984E7E98662817788FFA8F",1)</v>
      </c>
      <c r="K284" s="105">
        <v>46177</v>
      </c>
      <c r="M284" s="9" t="str">
        <f>_xlfn.DISPIMG("ID_78EA195D6DAB41CE8069FECCCA9D831D",1)</f>
        <v>=DISPIMG("ID_78EA195D6DAB41CE8069FECCCA9D831D",1)</v>
      </c>
    </row>
    <row r="285" ht="329.9" spans="1:17">
      <c r="A285" s="6" t="s">
        <v>416</v>
      </c>
      <c r="D285" s="8" t="s">
        <v>106</v>
      </c>
      <c r="E285" s="9" t="s">
        <v>261</v>
      </c>
      <c r="F285" s="10">
        <v>12</v>
      </c>
      <c r="G285" s="10">
        <v>5</v>
      </c>
      <c r="H285" s="11">
        <f t="shared" si="18"/>
        <v>60</v>
      </c>
      <c r="I285" s="11" t="s">
        <v>24</v>
      </c>
      <c r="J285" s="9" t="str">
        <f>_xlfn.DISPIMG("ID_64A385AA73984E7E98662817788FFA8F",1)</f>
        <v>=DISPIMG("ID_64A385AA73984E7E98662817788FFA8F",1)</v>
      </c>
      <c r="L285" s="8" t="s">
        <v>417</v>
      </c>
      <c r="M285" s="9" t="str">
        <f>_xlfn.DISPIMG("ID_859D302DEBE6460D9C119DAE5C1936DF",1)</f>
        <v>=DISPIMG("ID_859D302DEBE6460D9C119DAE5C1936DF",1)</v>
      </c>
    </row>
    <row r="286" ht="68.25" spans="1:17">
      <c r="A286" s="6" t="s">
        <v>418</v>
      </c>
      <c r="B286" s="7">
        <v>46149</v>
      </c>
      <c r="D286" s="8" t="s">
        <v>106</v>
      </c>
      <c r="E286" s="9" t="s">
        <v>265</v>
      </c>
      <c r="F286" s="10">
        <v>12</v>
      </c>
      <c r="G286" s="10">
        <v>4</v>
      </c>
      <c r="H286" s="11">
        <f t="shared" si="18"/>
        <v>48</v>
      </c>
      <c r="I286" s="11" t="s">
        <v>24</v>
      </c>
      <c r="J286" s="9" t="str">
        <f>_xlfn.DISPIMG("ID_F4A9A57DEBC248D8AB12409ADAD11D33",1)</f>
        <v>=DISPIMG("ID_F4A9A57DEBC248D8AB12409ADAD11D33",1)</v>
      </c>
    </row>
    <row r="287" spans="1:17">
      <c r="A287" s="6" t="s">
        <v>418</v>
      </c>
      <c r="B287" s="7">
        <v>46149</v>
      </c>
      <c r="D287" s="8" t="s">
        <v>106</v>
      </c>
      <c r="E287" s="9" t="s">
        <v>117</v>
      </c>
      <c r="F287" s="10">
        <v>12</v>
      </c>
      <c r="G287" s="10">
        <v>3</v>
      </c>
      <c r="H287" s="11">
        <f t="shared" si="18"/>
        <v>36</v>
      </c>
      <c r="I287" s="11" t="s">
        <v>24</v>
      </c>
    </row>
    <row r="288" ht="90" spans="1:17">
      <c r="A288" s="6" t="s">
        <v>419</v>
      </c>
      <c r="B288" s="7">
        <v>46210</v>
      </c>
      <c r="D288" s="8" t="s">
        <v>420</v>
      </c>
      <c r="E288" s="9" t="s">
        <v>261</v>
      </c>
      <c r="F288" s="10">
        <v>12</v>
      </c>
      <c r="G288" s="10">
        <v>200</v>
      </c>
      <c r="H288" s="11">
        <f t="shared" si="18"/>
        <v>2400</v>
      </c>
      <c r="I288" s="11" t="s">
        <v>24</v>
      </c>
      <c r="J288" s="9" t="str">
        <f>_xlfn.DISPIMG("ID_64A385AA73984E7E98662817788FFA8F",1)</f>
        <v>=DISPIMG("ID_64A385AA73984E7E98662817788FFA8F",1)</v>
      </c>
      <c r="K288" s="105">
        <v>46210</v>
      </c>
      <c r="L288" s="8" t="s">
        <v>421</v>
      </c>
    </row>
    <row r="289" ht="90" spans="1:15">
      <c r="A289" s="6" t="s">
        <v>419</v>
      </c>
      <c r="B289" s="7">
        <v>46210</v>
      </c>
      <c r="D289" s="8" t="s">
        <v>420</v>
      </c>
      <c r="E289" s="9" t="s">
        <v>265</v>
      </c>
      <c r="F289" s="10">
        <v>12</v>
      </c>
      <c r="G289" s="10">
        <v>100</v>
      </c>
      <c r="H289" s="11">
        <f t="shared" si="18"/>
        <v>1200</v>
      </c>
      <c r="I289" s="11" t="s">
        <v>24</v>
      </c>
      <c r="J289" s="9" t="str">
        <f>_xlfn.DISPIMG("ID_F4A9A57DEBC248D8AB12409ADAD11D33",1)</f>
        <v>=DISPIMG("ID_F4A9A57DEBC248D8AB12409ADAD11D33",1)</v>
      </c>
      <c r="K289" s="105">
        <v>46210</v>
      </c>
      <c r="L289" s="8" t="s">
        <v>421</v>
      </c>
    </row>
    <row r="290" ht="90" spans="1:15">
      <c r="A290" s="6" t="s">
        <v>419</v>
      </c>
      <c r="B290" s="7">
        <v>46210</v>
      </c>
      <c r="D290" s="8" t="s">
        <v>420</v>
      </c>
      <c r="E290" s="9" t="s">
        <v>262</v>
      </c>
      <c r="F290" s="10">
        <v>12</v>
      </c>
      <c r="G290" s="10">
        <v>50</v>
      </c>
      <c r="H290" s="11">
        <f t="shared" si="18"/>
        <v>600</v>
      </c>
      <c r="I290" s="11" t="s">
        <v>24</v>
      </c>
      <c r="J290" s="9" t="str">
        <f>_xlfn.DISPIMG("ID_3D6F1BBD1052412AA9A7B805975B39C6",1)</f>
        <v>=DISPIMG("ID_3D6F1BBD1052412AA9A7B805975B39C6",1)</v>
      </c>
      <c r="K290" s="105">
        <v>46210</v>
      </c>
      <c r="L290" s="8" t="s">
        <v>421</v>
      </c>
    </row>
    <row r="291" ht="116.05" spans="1:15">
      <c r="A291" s="6" t="s">
        <v>422</v>
      </c>
      <c r="B291" s="7">
        <v>46159</v>
      </c>
      <c r="D291" s="8" t="s">
        <v>423</v>
      </c>
      <c r="E291" s="9" t="s">
        <v>261</v>
      </c>
      <c r="F291" s="10">
        <v>12</v>
      </c>
      <c r="G291" s="10">
        <v>50</v>
      </c>
      <c r="H291" s="11">
        <f t="shared" si="18"/>
        <v>600</v>
      </c>
      <c r="I291" s="11" t="s">
        <v>24</v>
      </c>
      <c r="J291" s="9" t="str">
        <f t="shared" ref="J291:J294" si="19">_xlfn.DISPIMG("ID_64A385AA73984E7E98662817788FFA8F",1)</f>
        <v>=DISPIMG("ID_64A385AA73984E7E98662817788FFA8F",1)</v>
      </c>
      <c r="K291" s="105">
        <v>46159</v>
      </c>
      <c r="L291" s="8" t="s">
        <v>424</v>
      </c>
      <c r="M291" s="9" t="str">
        <f>_xlfn.DISPIMG("ID_49CFA0B838964CE48E61A657F064877E",1)</f>
        <v>=DISPIMG("ID_49CFA0B838964CE48E61A657F064877E",1)</v>
      </c>
      <c r="O291" s="9" t="str">
        <f>_xlfn.DISPIMG("ID_49A487AAF12A4E8CAABC7AC7F62C5304",1)</f>
        <v>=DISPIMG("ID_49A487AAF12A4E8CAABC7AC7F62C5304",1)</v>
      </c>
    </row>
    <row r="292" ht="49.5" spans="1:15">
      <c r="A292" s="6" t="s">
        <v>425</v>
      </c>
      <c r="D292" s="8" t="s">
        <v>426</v>
      </c>
      <c r="E292" s="9" t="s">
        <v>261</v>
      </c>
      <c r="F292" s="10">
        <v>12</v>
      </c>
      <c r="G292" s="10">
        <v>200</v>
      </c>
      <c r="H292" s="11">
        <f t="shared" ref="H292:H300" si="20">F292*G292</f>
        <v>2400</v>
      </c>
      <c r="I292" s="11" t="s">
        <v>24</v>
      </c>
      <c r="J292" s="9" t="str">
        <f t="shared" si="19"/>
        <v>=DISPIMG("ID_64A385AA73984E7E98662817788FFA8F",1)</v>
      </c>
      <c r="K292" s="105" t="s">
        <v>427</v>
      </c>
      <c r="L292" s="8" t="s">
        <v>307</v>
      </c>
    </row>
    <row r="293" ht="63" spans="1:15">
      <c r="A293" s="6" t="s">
        <v>425</v>
      </c>
      <c r="D293" s="8" t="s">
        <v>426</v>
      </c>
      <c r="E293" s="9" t="s">
        <v>89</v>
      </c>
      <c r="F293" s="10">
        <v>12</v>
      </c>
      <c r="G293" s="10">
        <v>200</v>
      </c>
      <c r="H293" s="11">
        <f t="shared" si="20"/>
        <v>2400</v>
      </c>
      <c r="I293" s="11" t="s">
        <v>24</v>
      </c>
      <c r="J293" s="9" t="str">
        <f>_xlfn.DISPIMG("ID_002240192A334CFB930A22EAC7587705",1)</f>
        <v>=DISPIMG("ID_002240192A334CFB930A22EAC7587705",1)</v>
      </c>
      <c r="K293" s="105" t="s">
        <v>427</v>
      </c>
      <c r="L293" s="8" t="s">
        <v>307</v>
      </c>
    </row>
    <row r="294" ht="49.5" spans="1:15">
      <c r="A294" s="6" t="s">
        <v>428</v>
      </c>
      <c r="B294" s="7">
        <v>46205</v>
      </c>
      <c r="D294" s="8" t="s">
        <v>429</v>
      </c>
      <c r="E294" s="9" t="s">
        <v>261</v>
      </c>
      <c r="F294" s="10">
        <v>12</v>
      </c>
      <c r="G294" s="10">
        <v>50</v>
      </c>
      <c r="H294" s="11">
        <f t="shared" si="20"/>
        <v>600</v>
      </c>
      <c r="I294" s="11" t="s">
        <v>24</v>
      </c>
      <c r="J294" s="9" t="str">
        <f t="shared" si="19"/>
        <v>=DISPIMG("ID_64A385AA73984E7E98662817788FFA8F",1)</v>
      </c>
      <c r="L294" s="8" t="s">
        <v>430</v>
      </c>
    </row>
    <row r="295" ht="67.5" spans="1:15">
      <c r="A295" s="6" t="s">
        <v>431</v>
      </c>
      <c r="B295" s="7">
        <v>46179</v>
      </c>
      <c r="D295" s="8" t="s">
        <v>432</v>
      </c>
      <c r="E295" s="9" t="s">
        <v>262</v>
      </c>
      <c r="F295" s="10">
        <v>12</v>
      </c>
      <c r="G295" s="10">
        <v>15</v>
      </c>
      <c r="H295" s="11">
        <f t="shared" si="20"/>
        <v>180</v>
      </c>
      <c r="I295" s="11" t="s">
        <v>24</v>
      </c>
      <c r="J295" s="9" t="str">
        <f>_xlfn.DISPIMG("ID_3D6F1BBD1052412AA9A7B805975B39C6",1)</f>
        <v>=DISPIMG("ID_3D6F1BBD1052412AA9A7B805975B39C6",1)</v>
      </c>
      <c r="K295" s="105">
        <v>46163</v>
      </c>
      <c r="L295" s="8" t="s">
        <v>433</v>
      </c>
    </row>
    <row r="296" ht="49.5" spans="1:15">
      <c r="A296" s="6" t="s">
        <v>431</v>
      </c>
      <c r="B296" s="7">
        <v>46179</v>
      </c>
      <c r="D296" s="8" t="s">
        <v>432</v>
      </c>
      <c r="E296" s="9" t="s">
        <v>261</v>
      </c>
      <c r="F296" s="10">
        <v>12</v>
      </c>
      <c r="G296" s="10">
        <v>20</v>
      </c>
      <c r="H296" s="11">
        <f t="shared" si="20"/>
        <v>240</v>
      </c>
      <c r="I296" s="11" t="s">
        <v>24</v>
      </c>
      <c r="J296" s="9" t="str">
        <f>_xlfn.DISPIMG("ID_64A385AA73984E7E98662817788FFA8F",1)</f>
        <v>=DISPIMG("ID_64A385AA73984E7E98662817788FFA8F",1)</v>
      </c>
      <c r="K296" s="105">
        <v>46163</v>
      </c>
      <c r="L296" s="8" t="s">
        <v>433</v>
      </c>
    </row>
    <row r="297" spans="1:15">
      <c r="A297" s="6" t="s">
        <v>431</v>
      </c>
      <c r="B297" s="7">
        <v>46150</v>
      </c>
      <c r="D297" s="8" t="s">
        <v>213</v>
      </c>
      <c r="E297" s="9" t="s">
        <v>262</v>
      </c>
      <c r="F297" s="10">
        <v>12</v>
      </c>
      <c r="G297" s="10">
        <v>2</v>
      </c>
      <c r="H297" s="11">
        <f t="shared" si="20"/>
        <v>24</v>
      </c>
      <c r="I297" s="11" t="s">
        <v>24</v>
      </c>
      <c r="K297" s="105"/>
    </row>
    <row r="298" spans="1:15">
      <c r="A298" s="6" t="s">
        <v>431</v>
      </c>
      <c r="B298" s="7">
        <v>46150</v>
      </c>
      <c r="D298" s="8" t="s">
        <v>213</v>
      </c>
      <c r="E298" s="9" t="s">
        <v>261</v>
      </c>
      <c r="F298" s="10">
        <v>12</v>
      </c>
      <c r="G298" s="10">
        <v>2</v>
      </c>
      <c r="H298" s="11">
        <f t="shared" si="20"/>
        <v>24</v>
      </c>
      <c r="I298" s="11" t="s">
        <v>24</v>
      </c>
      <c r="K298" s="105"/>
    </row>
    <row r="299" spans="1:15">
      <c r="A299" s="6" t="s">
        <v>431</v>
      </c>
      <c r="B299" s="7">
        <v>46150</v>
      </c>
      <c r="D299" s="8" t="s">
        <v>213</v>
      </c>
      <c r="E299" s="9" t="s">
        <v>261</v>
      </c>
      <c r="F299" s="10">
        <v>12</v>
      </c>
      <c r="G299" s="10">
        <v>2</v>
      </c>
      <c r="H299" s="11">
        <f t="shared" si="20"/>
        <v>24</v>
      </c>
      <c r="I299" s="11" t="s">
        <v>24</v>
      </c>
      <c r="K299" s="105"/>
    </row>
    <row r="300" spans="1:15">
      <c r="A300" s="6" t="s">
        <v>431</v>
      </c>
      <c r="B300" s="7">
        <v>46150</v>
      </c>
      <c r="D300" s="8" t="s">
        <v>213</v>
      </c>
      <c r="E300" s="9" t="s">
        <v>261</v>
      </c>
      <c r="F300" s="10">
        <v>12</v>
      </c>
      <c r="G300" s="10">
        <v>2</v>
      </c>
      <c r="H300" s="11">
        <f t="shared" si="20"/>
        <v>24</v>
      </c>
      <c r="I300" s="11" t="s">
        <v>24</v>
      </c>
      <c r="K300" s="105"/>
    </row>
    <row r="301" ht="129" customHeight="1" spans="1:15">
      <c r="A301" s="6" t="s">
        <v>434</v>
      </c>
      <c r="B301" s="7">
        <v>46155</v>
      </c>
      <c r="D301" s="8" t="s">
        <v>435</v>
      </c>
      <c r="E301" s="9" t="s">
        <v>261</v>
      </c>
      <c r="F301" s="10">
        <v>12</v>
      </c>
      <c r="G301" s="10">
        <v>13</v>
      </c>
      <c r="H301" s="11">
        <f t="shared" ref="H301:H317" si="21">F301*G301</f>
        <v>156</v>
      </c>
      <c r="I301" s="11" t="s">
        <v>24</v>
      </c>
      <c r="J301" s="9" t="str">
        <f>_xlfn.DISPIMG("ID_64A385AA73984E7E98662817788FFA8F",1)</f>
        <v>=DISPIMG("ID_64A385AA73984E7E98662817788FFA8F",1)</v>
      </c>
      <c r="L301" s="8" t="s">
        <v>436</v>
      </c>
      <c r="M301" s="9" t="str">
        <f>_xlfn.DISPIMG("ID_8D601D7E89384EA798406965A1C4AF20",1)</f>
        <v>=DISPIMG("ID_8D601D7E89384EA798406965A1C4AF20",1)</v>
      </c>
      <c r="N301" s="8"/>
      <c r="O301" s="8" t="s">
        <v>437</v>
      </c>
    </row>
    <row r="302" ht="90" spans="1:15">
      <c r="A302" s="6" t="s">
        <v>434</v>
      </c>
      <c r="B302" s="7">
        <v>46155</v>
      </c>
      <c r="D302" s="8" t="s">
        <v>435</v>
      </c>
      <c r="E302" s="9" t="s">
        <v>262</v>
      </c>
      <c r="F302" s="10">
        <v>12</v>
      </c>
      <c r="G302" s="10">
        <v>13</v>
      </c>
      <c r="H302" s="11">
        <f t="shared" si="21"/>
        <v>156</v>
      </c>
      <c r="I302" s="11" t="s">
        <v>24</v>
      </c>
      <c r="J302" s="9" t="str">
        <f>_xlfn.DISPIMG("ID_3D6F1BBD1052412AA9A7B805975B39C6",1)</f>
        <v>=DISPIMG("ID_3D6F1BBD1052412AA9A7B805975B39C6",1)</v>
      </c>
      <c r="L302" s="8" t="s">
        <v>436</v>
      </c>
      <c r="M302" s="9" t="str">
        <f>_xlfn.DISPIMG("ID_8D601D7E89384EA798406965A1C4AF20",1)</f>
        <v>=DISPIMG("ID_8D601D7E89384EA798406965A1C4AF20",1)</v>
      </c>
      <c r="N302" s="8"/>
      <c r="O302" s="8" t="s">
        <v>437</v>
      </c>
    </row>
    <row r="303" spans="1:15">
      <c r="A303" s="6" t="s">
        <v>438</v>
      </c>
      <c r="B303" s="7">
        <v>46151</v>
      </c>
      <c r="D303" s="8" t="s">
        <v>106</v>
      </c>
      <c r="E303" s="9" t="s">
        <v>261</v>
      </c>
      <c r="F303" s="10">
        <v>12</v>
      </c>
      <c r="G303" s="10">
        <v>5</v>
      </c>
      <c r="H303" s="11">
        <f t="shared" si="21"/>
        <v>60</v>
      </c>
      <c r="I303" s="11" t="s">
        <v>24</v>
      </c>
      <c r="N303" s="8"/>
      <c r="O303" s="8"/>
    </row>
    <row r="304" spans="1:15">
      <c r="A304" s="6" t="s">
        <v>439</v>
      </c>
      <c r="B304" s="7">
        <v>46151</v>
      </c>
      <c r="D304" s="8" t="s">
        <v>213</v>
      </c>
      <c r="E304" s="9" t="s">
        <v>261</v>
      </c>
      <c r="F304" s="10">
        <v>12</v>
      </c>
      <c r="G304" s="10">
        <v>5</v>
      </c>
      <c r="H304" s="11">
        <f t="shared" si="21"/>
        <v>60</v>
      </c>
      <c r="I304" s="11" t="s">
        <v>24</v>
      </c>
      <c r="N304" s="8"/>
      <c r="O304" s="8"/>
    </row>
    <row r="305" spans="1:15">
      <c r="A305" s="6" t="s">
        <v>440</v>
      </c>
      <c r="B305" s="7">
        <v>46152</v>
      </c>
      <c r="D305" s="8" t="s">
        <v>441</v>
      </c>
      <c r="E305" s="9" t="s">
        <v>265</v>
      </c>
      <c r="F305" s="10">
        <v>12</v>
      </c>
      <c r="G305" s="10">
        <v>5</v>
      </c>
      <c r="H305" s="11">
        <f t="shared" si="21"/>
        <v>60</v>
      </c>
      <c r="I305" s="11" t="s">
        <v>24</v>
      </c>
      <c r="N305" s="8"/>
      <c r="O305" s="8"/>
    </row>
    <row r="306" spans="1:15">
      <c r="A306" s="6" t="s">
        <v>440</v>
      </c>
      <c r="B306" s="7">
        <v>46152</v>
      </c>
      <c r="D306" s="8" t="s">
        <v>441</v>
      </c>
      <c r="E306" s="9" t="s">
        <v>248</v>
      </c>
      <c r="F306" s="10">
        <v>12</v>
      </c>
      <c r="G306" s="10">
        <v>5</v>
      </c>
      <c r="H306" s="11">
        <f t="shared" si="21"/>
        <v>60</v>
      </c>
      <c r="I306" s="11" t="s">
        <v>24</v>
      </c>
      <c r="N306" s="8"/>
      <c r="O306" s="8"/>
    </row>
    <row r="307" spans="1:15">
      <c r="A307" s="6" t="s">
        <v>440</v>
      </c>
      <c r="B307" s="7">
        <v>46152</v>
      </c>
      <c r="D307" s="8" t="s">
        <v>441</v>
      </c>
      <c r="E307" s="9" t="s">
        <v>265</v>
      </c>
      <c r="F307" s="10">
        <v>12</v>
      </c>
      <c r="G307" s="10">
        <v>10</v>
      </c>
      <c r="H307" s="11">
        <f t="shared" si="21"/>
        <v>120</v>
      </c>
      <c r="I307" s="11" t="s">
        <v>24</v>
      </c>
      <c r="N307" s="8"/>
      <c r="O307" s="8"/>
    </row>
    <row r="308" spans="1:15">
      <c r="A308" s="6" t="s">
        <v>440</v>
      </c>
      <c r="B308" s="7">
        <v>46152</v>
      </c>
      <c r="D308" s="8" t="s">
        <v>203</v>
      </c>
      <c r="E308" s="9" t="s">
        <v>117</v>
      </c>
      <c r="F308" s="10">
        <v>12</v>
      </c>
      <c r="G308" s="10">
        <v>4</v>
      </c>
      <c r="H308" s="11">
        <f t="shared" si="21"/>
        <v>48</v>
      </c>
      <c r="I308" s="11" t="s">
        <v>24</v>
      </c>
      <c r="N308" s="8"/>
      <c r="O308" s="8"/>
    </row>
    <row r="309" ht="214.95" spans="1:15">
      <c r="A309" s="6" t="s">
        <v>442</v>
      </c>
      <c r="B309" s="7">
        <v>46154</v>
      </c>
      <c r="D309" s="8" t="s">
        <v>106</v>
      </c>
      <c r="E309" s="9" t="s">
        <v>265</v>
      </c>
      <c r="F309" s="10">
        <v>12</v>
      </c>
      <c r="G309" s="10">
        <v>20</v>
      </c>
      <c r="H309" s="11">
        <f t="shared" si="21"/>
        <v>240</v>
      </c>
      <c r="I309" s="11" t="s">
        <v>24</v>
      </c>
      <c r="J309" s="9" t="str">
        <f>_xlfn.DISPIMG("ID_F4A9A57DEBC248D8AB12409ADAD11D33",1)</f>
        <v>=DISPIMG("ID_F4A9A57DEBC248D8AB12409ADAD11D33",1)</v>
      </c>
      <c r="K309" s="9" t="s">
        <v>443</v>
      </c>
      <c r="L309" s="8" t="s">
        <v>444</v>
      </c>
      <c r="M309" s="9" t="str">
        <f>_xlfn.DISPIMG("ID_C536298B70FF4A6DB4CCB4808C2446C0",1)</f>
        <v>=DISPIMG("ID_C536298B70FF4A6DB4CCB4808C2446C0",1)</v>
      </c>
    </row>
    <row r="310" ht="68.25" spans="1:15">
      <c r="A310" s="6" t="s">
        <v>445</v>
      </c>
      <c r="B310" s="7">
        <v>46162</v>
      </c>
      <c r="D310" s="8" t="s">
        <v>446</v>
      </c>
      <c r="E310" s="9" t="s">
        <v>285</v>
      </c>
      <c r="F310" s="10">
        <v>12</v>
      </c>
      <c r="G310" s="10">
        <v>4</v>
      </c>
      <c r="H310" s="11">
        <f t="shared" si="21"/>
        <v>48</v>
      </c>
      <c r="I310" s="11" t="s">
        <v>24</v>
      </c>
      <c r="J310" s="9" t="str">
        <f>_xlfn.DISPIMG("ID_E5ED35210A1F4377B9445C12A36114A6",1)</f>
        <v>=DISPIMG("ID_E5ED35210A1F4377B9445C12A36114A6",1)</v>
      </c>
      <c r="K310" s="105">
        <v>46161</v>
      </c>
    </row>
    <row r="311" ht="66" spans="1:15">
      <c r="A311" s="6" t="s">
        <v>445</v>
      </c>
      <c r="D311" s="8" t="s">
        <v>446</v>
      </c>
      <c r="E311" s="9" t="s">
        <v>266</v>
      </c>
      <c r="F311" s="10">
        <v>12</v>
      </c>
      <c r="G311" s="10">
        <v>4</v>
      </c>
      <c r="H311" s="11">
        <f t="shared" si="21"/>
        <v>48</v>
      </c>
      <c r="I311" s="11" t="s">
        <v>24</v>
      </c>
      <c r="J311" s="9" t="str">
        <f>_xlfn.DISPIMG("ID_1C1F63CB20BF441CA8061CF086B66C9A",1)</f>
        <v>=DISPIMG("ID_1C1F63CB20BF441CA8061CF086B66C9A",1)</v>
      </c>
      <c r="K311" s="105">
        <v>46161</v>
      </c>
    </row>
    <row r="312" ht="48" spans="1:15">
      <c r="A312" s="6" t="s">
        <v>445</v>
      </c>
      <c r="D312" s="8" t="s">
        <v>446</v>
      </c>
      <c r="E312" s="9" t="s">
        <v>386</v>
      </c>
      <c r="F312" s="10">
        <v>12</v>
      </c>
      <c r="G312" s="10">
        <v>4</v>
      </c>
      <c r="H312" s="11">
        <f t="shared" si="21"/>
        <v>48</v>
      </c>
      <c r="I312" s="11" t="s">
        <v>24</v>
      </c>
      <c r="J312" s="9" t="str">
        <f t="shared" ref="J312:J316" si="22">_xlfn.DISPIMG("ID_1836EF6B7FDB434FA9CDFFEF164E1B74",1)</f>
        <v>=DISPIMG("ID_1836EF6B7FDB434FA9CDFFEF164E1B74",1)</v>
      </c>
      <c r="K312" s="105">
        <v>46161</v>
      </c>
    </row>
    <row r="313" ht="66" spans="1:15">
      <c r="A313" s="6" t="s">
        <v>447</v>
      </c>
      <c r="B313" s="7">
        <v>46169</v>
      </c>
      <c r="D313" s="8" t="s">
        <v>448</v>
      </c>
      <c r="E313" s="9" t="s">
        <v>266</v>
      </c>
      <c r="F313" s="10">
        <v>12</v>
      </c>
      <c r="G313" s="10">
        <v>20</v>
      </c>
      <c r="H313" s="11">
        <f t="shared" si="21"/>
        <v>240</v>
      </c>
      <c r="I313" s="11" t="s">
        <v>24</v>
      </c>
      <c r="J313" s="9" t="str">
        <f>_xlfn.DISPIMG("ID_1C1F63CB20BF441CA8061CF086B66C9A",1)</f>
        <v>=DISPIMG("ID_1C1F63CB20BF441CA8061CF086B66C9A",1)</v>
      </c>
      <c r="L313" s="8" t="s">
        <v>171</v>
      </c>
    </row>
    <row r="314" ht="47.25" spans="1:15">
      <c r="A314" s="6" t="s">
        <v>447</v>
      </c>
      <c r="B314" s="7">
        <v>46169</v>
      </c>
      <c r="D314" s="8" t="s">
        <v>448</v>
      </c>
      <c r="E314" s="9" t="s">
        <v>386</v>
      </c>
      <c r="F314" s="10">
        <v>12</v>
      </c>
      <c r="G314" s="10">
        <v>15</v>
      </c>
      <c r="H314" s="11">
        <f t="shared" si="21"/>
        <v>180</v>
      </c>
      <c r="I314" s="11" t="s">
        <v>24</v>
      </c>
      <c r="J314" s="9" t="str">
        <f t="shared" si="22"/>
        <v>=DISPIMG("ID_1836EF6B7FDB434FA9CDFFEF164E1B74",1)</v>
      </c>
      <c r="L314" s="8" t="s">
        <v>171</v>
      </c>
    </row>
    <row r="315" ht="67.5" spans="1:15">
      <c r="A315" s="6" t="s">
        <v>447</v>
      </c>
      <c r="B315" s="7">
        <v>46162</v>
      </c>
      <c r="D315" s="8" t="s">
        <v>448</v>
      </c>
      <c r="E315" s="9" t="s">
        <v>265</v>
      </c>
      <c r="F315" s="10">
        <v>12</v>
      </c>
      <c r="G315" s="10">
        <v>20</v>
      </c>
      <c r="H315" s="11">
        <f t="shared" si="21"/>
        <v>240</v>
      </c>
      <c r="I315" s="11" t="s">
        <v>24</v>
      </c>
      <c r="J315" s="9" t="str">
        <f>_xlfn.DISPIMG("ID_F4A9A57DEBC248D8AB12409ADAD11D33",1)</f>
        <v>=DISPIMG("ID_F4A9A57DEBC248D8AB12409ADAD11D33",1)</v>
      </c>
      <c r="L315" s="8" t="s">
        <v>171</v>
      </c>
    </row>
    <row r="316" ht="47.25" spans="1:15">
      <c r="A316" s="6" t="s">
        <v>449</v>
      </c>
      <c r="D316" s="8" t="s">
        <v>450</v>
      </c>
      <c r="E316" s="9" t="s">
        <v>386</v>
      </c>
      <c r="F316" s="10">
        <v>12</v>
      </c>
      <c r="G316" s="10">
        <v>5</v>
      </c>
      <c r="H316" s="11">
        <f t="shared" si="21"/>
        <v>60</v>
      </c>
      <c r="I316" s="11" t="s">
        <v>24</v>
      </c>
      <c r="J316" s="9" t="str">
        <f t="shared" si="22"/>
        <v>=DISPIMG("ID_1836EF6B7FDB434FA9CDFFEF164E1B74",1)</v>
      </c>
    </row>
    <row r="317" ht="67.5" spans="1:15">
      <c r="A317" s="6" t="s">
        <v>449</v>
      </c>
      <c r="B317" s="7">
        <v>46175</v>
      </c>
      <c r="D317" s="8" t="s">
        <v>450</v>
      </c>
      <c r="E317" s="9" t="s">
        <v>285</v>
      </c>
      <c r="F317" s="10">
        <v>12</v>
      </c>
      <c r="G317" s="10">
        <v>5</v>
      </c>
      <c r="H317" s="11">
        <f t="shared" si="21"/>
        <v>60</v>
      </c>
      <c r="I317" s="11" t="s">
        <v>24</v>
      </c>
      <c r="J317" s="9" t="str">
        <f>_xlfn.DISPIMG("ID_E5ED35210A1F4377B9445C12A36114A6",1)</f>
        <v>=DISPIMG("ID_E5ED35210A1F4377B9445C12A36114A6",1)</v>
      </c>
    </row>
    <row r="318" ht="47.25" spans="1:15">
      <c r="A318" s="6" t="s">
        <v>451</v>
      </c>
      <c r="B318" s="7">
        <v>46180</v>
      </c>
      <c r="D318" s="8" t="s">
        <v>452</v>
      </c>
      <c r="E318" s="9" t="s">
        <v>386</v>
      </c>
      <c r="F318" s="10">
        <v>12</v>
      </c>
      <c r="G318" s="10">
        <v>30</v>
      </c>
      <c r="H318" s="11">
        <f t="shared" ref="H318:H345" si="23">F318*G318</f>
        <v>360</v>
      </c>
      <c r="I318" s="11" t="s">
        <v>24</v>
      </c>
      <c r="J318" s="9" t="str">
        <f>_xlfn.DISPIMG("ID_1836EF6B7FDB434FA9CDFFEF164E1B74",1)</f>
        <v>=DISPIMG("ID_1836EF6B7FDB434FA9CDFFEF164E1B74",1)</v>
      </c>
      <c r="L318" s="8" t="s">
        <v>453</v>
      </c>
    </row>
    <row r="319" ht="67.5" spans="1:15">
      <c r="A319" s="6" t="s">
        <v>454</v>
      </c>
      <c r="B319" s="7">
        <v>46180</v>
      </c>
      <c r="D319" s="8" t="s">
        <v>452</v>
      </c>
      <c r="E319" s="9" t="s">
        <v>265</v>
      </c>
      <c r="F319" s="10">
        <v>12</v>
      </c>
      <c r="G319" s="10">
        <v>30</v>
      </c>
      <c r="H319" s="11">
        <f t="shared" si="23"/>
        <v>360</v>
      </c>
      <c r="I319" s="11" t="s">
        <v>24</v>
      </c>
      <c r="J319" s="9" t="str">
        <f>_xlfn.DISPIMG("ID_F4A9A57DEBC248D8AB12409ADAD11D33",1)</f>
        <v>=DISPIMG("ID_F4A9A57DEBC248D8AB12409ADAD11D33",1)</v>
      </c>
      <c r="L319" s="8" t="s">
        <v>453</v>
      </c>
    </row>
    <row r="320" ht="197" customHeight="1" spans="1:15">
      <c r="A320" s="6" t="s">
        <v>455</v>
      </c>
      <c r="B320" s="7">
        <v>46166</v>
      </c>
      <c r="D320" s="8" t="s">
        <v>456</v>
      </c>
      <c r="E320" s="9" t="s">
        <v>41</v>
      </c>
      <c r="F320" s="10">
        <v>12</v>
      </c>
      <c r="G320" s="10">
        <v>45</v>
      </c>
      <c r="H320" s="11">
        <f t="shared" si="23"/>
        <v>540</v>
      </c>
      <c r="I320" s="11" t="s">
        <v>24</v>
      </c>
      <c r="J320" s="9" t="str">
        <f>_xlfn.DISPIMG("ID_B8B63AF451D843948218223D83FFEFF3",1)</f>
        <v>=DISPIMG("ID_B8B63AF451D843948218223D83FFEFF3",1)</v>
      </c>
      <c r="K320" s="105">
        <v>46166</v>
      </c>
      <c r="M320" s="9" t="str">
        <f>_xlfn.DISPIMG("ID_F23CCD5520404D22AAE755F29C2EB3FD",1)</f>
        <v>=DISPIMG("ID_F23CCD5520404D22AAE755F29C2EB3FD",1)</v>
      </c>
    </row>
    <row r="321" ht="178.5" spans="1:16">
      <c r="A321" s="6" t="s">
        <v>457</v>
      </c>
      <c r="B321" s="7">
        <v>46164</v>
      </c>
      <c r="D321" s="8" t="s">
        <v>106</v>
      </c>
      <c r="E321" s="9" t="s">
        <v>117</v>
      </c>
      <c r="F321" s="10">
        <v>12</v>
      </c>
      <c r="G321" s="10">
        <v>5</v>
      </c>
      <c r="H321" s="11">
        <f t="shared" si="23"/>
        <v>60</v>
      </c>
      <c r="I321" s="11" t="s">
        <v>24</v>
      </c>
      <c r="J321" s="9" t="str">
        <f>_xlfn.DISPIMG("ID_39A14D0FFD9341798B1BB11C472B74E4",1)</f>
        <v>=DISPIMG("ID_39A14D0FFD9341798B1BB11C472B74E4",1)</v>
      </c>
      <c r="L321" s="8" t="s">
        <v>458</v>
      </c>
      <c r="M321" s="9" t="str">
        <f t="shared" ref="M321:M323" si="24">_xlfn.DISPIMG("ID_CB7BF3470C954651BDA1E3CF1BB6B636",1)</f>
        <v>=DISPIMG("ID_CB7BF3470C954651BDA1E3CF1BB6B636",1)</v>
      </c>
    </row>
    <row r="322" ht="189.7" spans="1:16">
      <c r="A322" s="6" t="s">
        <v>457</v>
      </c>
      <c r="B322" s="7">
        <v>46164</v>
      </c>
      <c r="D322" s="8" t="s">
        <v>106</v>
      </c>
      <c r="E322" s="9" t="s">
        <v>118</v>
      </c>
      <c r="F322" s="10">
        <v>12</v>
      </c>
      <c r="G322" s="10">
        <v>5</v>
      </c>
      <c r="H322" s="11">
        <f t="shared" si="23"/>
        <v>60</v>
      </c>
      <c r="I322" s="11" t="s">
        <v>24</v>
      </c>
      <c r="J322" s="10" t="str">
        <f>_xlfn.DISPIMG("ID_6C2EAC70D4D04A48A52CAAB8531A11B8",1)</f>
        <v>=DISPIMG("ID_6C2EAC70D4D04A48A52CAAB8531A11B8",1)</v>
      </c>
      <c r="L322" s="8" t="s">
        <v>458</v>
      </c>
      <c r="M322" s="9" t="str">
        <f t="shared" si="24"/>
        <v>=DISPIMG("ID_CB7BF3470C954651BDA1E3CF1BB6B636",1)</v>
      </c>
    </row>
    <row r="323" ht="179.25" spans="1:16">
      <c r="A323" s="6" t="s">
        <v>457</v>
      </c>
      <c r="B323" s="7">
        <v>46164</v>
      </c>
      <c r="D323" s="8" t="s">
        <v>106</v>
      </c>
      <c r="E323" s="9" t="s">
        <v>261</v>
      </c>
      <c r="F323" s="10">
        <v>12</v>
      </c>
      <c r="G323" s="10">
        <v>5</v>
      </c>
      <c r="H323" s="11">
        <f t="shared" si="23"/>
        <v>60</v>
      </c>
      <c r="I323" s="11" t="s">
        <v>24</v>
      </c>
      <c r="J323" s="9" t="str">
        <f>_xlfn.DISPIMG("ID_64A385AA73984E7E98662817788FFA8F",1)</f>
        <v>=DISPIMG("ID_64A385AA73984E7E98662817788FFA8F",1)</v>
      </c>
      <c r="L323" s="8" t="s">
        <v>458</v>
      </c>
      <c r="M323" s="9" t="str">
        <f t="shared" si="24"/>
        <v>=DISPIMG("ID_CB7BF3470C954651BDA1E3CF1BB6B636",1)</v>
      </c>
    </row>
    <row r="324" ht="181.95" spans="1:16">
      <c r="A324" s="6" t="s">
        <v>457</v>
      </c>
      <c r="B324" s="7">
        <v>46164</v>
      </c>
      <c r="D324" s="8" t="s">
        <v>106</v>
      </c>
      <c r="E324" s="9" t="s">
        <v>117</v>
      </c>
      <c r="F324" s="10">
        <v>12</v>
      </c>
      <c r="G324" s="10">
        <v>1</v>
      </c>
      <c r="H324" s="11">
        <f t="shared" si="23"/>
        <v>12</v>
      </c>
      <c r="I324" s="11" t="s">
        <v>24</v>
      </c>
      <c r="J324" s="9" t="str">
        <f>_xlfn.DISPIMG("ID_39A14D0FFD9341798B1BB11C472B74E4",1)</f>
        <v>=DISPIMG("ID_39A14D0FFD9341798B1BB11C472B74E4",1)</v>
      </c>
      <c r="L324" s="8" t="s">
        <v>458</v>
      </c>
      <c r="M324" s="9" t="str">
        <f>_xlfn.DISPIMG("ID_02ECBCE3B4E3479F9E8FBE7804AD730C",1)</f>
        <v>=DISPIMG("ID_02ECBCE3B4E3479F9E8FBE7804AD730C",1)</v>
      </c>
    </row>
    <row r="325" ht="265" spans="1:16">
      <c r="A325" s="6" t="s">
        <v>459</v>
      </c>
      <c r="B325" s="7">
        <v>46173</v>
      </c>
      <c r="D325" s="8" t="s">
        <v>460</v>
      </c>
      <c r="E325" s="9" t="s">
        <v>261</v>
      </c>
      <c r="F325" s="10">
        <v>12</v>
      </c>
      <c r="G325" s="10">
        <v>300</v>
      </c>
      <c r="H325" s="11">
        <f t="shared" si="23"/>
        <v>3600</v>
      </c>
      <c r="I325" s="11" t="s">
        <v>24</v>
      </c>
      <c r="J325" s="9" t="str">
        <f>_xlfn.DISPIMG("ID_64A385AA73984E7E98662817788FFA8F",1)</f>
        <v>=DISPIMG("ID_64A385AA73984E7E98662817788FFA8F",1)</v>
      </c>
      <c r="K325" s="105" t="s">
        <v>461</v>
      </c>
      <c r="L325" s="8" t="s">
        <v>462</v>
      </c>
      <c r="M325" s="9" t="str">
        <f>_xlfn.DISPIMG("ID_B7EB660CC9AC486DBC7918FD23B5CE40",1)</f>
        <v>=DISPIMG("ID_B7EB660CC9AC486DBC7918FD23B5CE40",1)</v>
      </c>
    </row>
    <row r="326" ht="102.15" spans="1:16">
      <c r="A326" s="6" t="s">
        <v>459</v>
      </c>
      <c r="B326" s="7">
        <v>46183</v>
      </c>
      <c r="D326" s="8" t="s">
        <v>460</v>
      </c>
      <c r="E326" s="9" t="s">
        <v>262</v>
      </c>
      <c r="F326" s="10">
        <v>12</v>
      </c>
      <c r="G326" s="10">
        <v>50</v>
      </c>
      <c r="H326" s="11">
        <f t="shared" si="23"/>
        <v>600</v>
      </c>
      <c r="I326" s="11" t="s">
        <v>24</v>
      </c>
      <c r="J326" s="9" t="str">
        <f>_xlfn.DISPIMG("ID_8F3618A1F18147BC9122114FE34EF87A",1)</f>
        <v>=DISPIMG("ID_8F3618A1F18147BC9122114FE34EF87A",1)</v>
      </c>
      <c r="K326" s="105" t="s">
        <v>461</v>
      </c>
      <c r="L326" s="8" t="s">
        <v>463</v>
      </c>
      <c r="M326" s="9" t="str">
        <f>_xlfn.DISPIMG("ID_B7EB660CC9AC486DBC7918FD23B5CE40",1)</f>
        <v>=DISPIMG("ID_B7EB660CC9AC486DBC7918FD23B5CE40",1)</v>
      </c>
    </row>
    <row r="327" ht="120.15" spans="1:16">
      <c r="A327" s="6" t="s">
        <v>464</v>
      </c>
      <c r="B327" s="7">
        <v>46166</v>
      </c>
      <c r="D327" s="8" t="s">
        <v>465</v>
      </c>
      <c r="E327" s="9" t="s">
        <v>262</v>
      </c>
      <c r="F327" s="10">
        <v>12</v>
      </c>
      <c r="G327" s="10">
        <v>10</v>
      </c>
      <c r="H327" s="11">
        <f t="shared" si="23"/>
        <v>120</v>
      </c>
      <c r="I327" s="11" t="s">
        <v>24</v>
      </c>
      <c r="J327" s="9" t="str">
        <f>_xlfn.DISPIMG("ID_8F3618A1F18147BC9122114FE34EF87A",1)</f>
        <v>=DISPIMG("ID_8F3618A1F18147BC9122114FE34EF87A",1)</v>
      </c>
      <c r="L327" s="8" t="s">
        <v>466</v>
      </c>
    </row>
    <row r="328" ht="67.5" spans="1:16">
      <c r="A328" s="6" t="s">
        <v>464</v>
      </c>
      <c r="B328" s="7">
        <v>46166</v>
      </c>
      <c r="D328" s="8" t="s">
        <v>465</v>
      </c>
      <c r="E328" s="9" t="s">
        <v>265</v>
      </c>
      <c r="F328" s="10">
        <v>12</v>
      </c>
      <c r="G328" s="10">
        <v>10</v>
      </c>
      <c r="H328" s="11">
        <f t="shared" si="23"/>
        <v>120</v>
      </c>
      <c r="I328" s="11" t="s">
        <v>24</v>
      </c>
      <c r="J328" s="9" t="str">
        <f>_xlfn.DISPIMG("ID_C984A661BC264E9092142096141359CF",1)</f>
        <v>=DISPIMG("ID_C984A661BC264E9092142096141359CF",1)</v>
      </c>
      <c r="L328" s="8" t="s">
        <v>466</v>
      </c>
    </row>
    <row r="329" ht="94.45" spans="1:16">
      <c r="A329" s="6" t="s">
        <v>467</v>
      </c>
      <c r="B329" s="7">
        <v>46166</v>
      </c>
      <c r="D329" s="8" t="s">
        <v>187</v>
      </c>
      <c r="E329" s="9" t="s">
        <v>262</v>
      </c>
      <c r="F329" s="10">
        <v>12</v>
      </c>
      <c r="G329" s="10">
        <v>50</v>
      </c>
      <c r="H329" s="11">
        <f t="shared" si="23"/>
        <v>600</v>
      </c>
      <c r="I329" s="11" t="s">
        <v>24</v>
      </c>
      <c r="J329" s="9" t="str">
        <f>_xlfn.DISPIMG("ID_8955FC90E011499D92F0747BD0BE94EC",1)</f>
        <v>=DISPIMG("ID_8955FC90E011499D92F0747BD0BE94EC",1)</v>
      </c>
    </row>
    <row r="330" ht="31.15" spans="1:16">
      <c r="A330" s="6" t="s">
        <v>467</v>
      </c>
      <c r="B330" s="7">
        <v>46166</v>
      </c>
      <c r="D330" s="8" t="s">
        <v>187</v>
      </c>
      <c r="E330" s="9" t="s">
        <v>261</v>
      </c>
      <c r="F330" s="10">
        <v>12</v>
      </c>
      <c r="G330" s="10">
        <v>50</v>
      </c>
      <c r="H330" s="11">
        <f t="shared" si="23"/>
        <v>600</v>
      </c>
      <c r="I330" s="11" t="s">
        <v>24</v>
      </c>
      <c r="J330" s="9" t="str">
        <f>_xlfn.DISPIMG("ID_99C4ED40B9134E0A9581FF621A894688",1)</f>
        <v>=DISPIMG("ID_99C4ED40B9134E0A9581FF621A894688",1)</v>
      </c>
    </row>
    <row r="331" ht="94.45" spans="1:16">
      <c r="A331" s="6" t="s">
        <v>467</v>
      </c>
      <c r="B331" s="7">
        <v>46166</v>
      </c>
      <c r="D331" s="8" t="s">
        <v>187</v>
      </c>
      <c r="E331" s="9" t="s">
        <v>265</v>
      </c>
      <c r="F331" s="10">
        <v>12</v>
      </c>
      <c r="G331" s="10">
        <v>50</v>
      </c>
      <c r="H331" s="11">
        <f t="shared" si="23"/>
        <v>600</v>
      </c>
      <c r="I331" s="11" t="s">
        <v>24</v>
      </c>
      <c r="J331" s="9" t="str">
        <f>_xlfn.DISPIMG("ID_5E94F6C8DC57490DB8773CDBF8CDC6A1",1)</f>
        <v>=DISPIMG("ID_5E94F6C8DC57490DB8773CDBF8CDC6A1",1)</v>
      </c>
    </row>
    <row r="332" ht="29.85" spans="1:16">
      <c r="A332" s="6" t="s">
        <v>467</v>
      </c>
      <c r="B332" s="7">
        <v>46166</v>
      </c>
      <c r="D332" s="8" t="s">
        <v>187</v>
      </c>
      <c r="E332" s="9" t="s">
        <v>132</v>
      </c>
      <c r="F332" s="10">
        <v>12</v>
      </c>
      <c r="G332" s="10">
        <v>50</v>
      </c>
      <c r="H332" s="11">
        <f t="shared" si="23"/>
        <v>600</v>
      </c>
      <c r="I332" s="11" t="s">
        <v>24</v>
      </c>
      <c r="J332" s="9" t="str">
        <f>_xlfn.DISPIMG("ID_0700B4C72BC0466E8EC812BA222CC31E",1)</f>
        <v>=DISPIMG("ID_0700B4C72BC0466E8EC812BA222CC31E",1)</v>
      </c>
    </row>
    <row r="333" ht="31" spans="1:16">
      <c r="A333" s="6" t="s">
        <v>467</v>
      </c>
      <c r="B333" s="7">
        <v>46159</v>
      </c>
      <c r="D333" s="8" t="s">
        <v>187</v>
      </c>
      <c r="E333" s="9" t="s">
        <v>265</v>
      </c>
      <c r="F333" s="10">
        <v>12</v>
      </c>
      <c r="G333" s="10">
        <v>30</v>
      </c>
      <c r="H333" s="11">
        <f t="shared" si="23"/>
        <v>360</v>
      </c>
      <c r="I333" s="11" t="s">
        <v>24</v>
      </c>
      <c r="J333" s="9" t="str">
        <f>_xlfn.DISPIMG("ID_5E94F6C8DC57490DB8773CDBF8CDC6A1",1)</f>
        <v>=DISPIMG("ID_5E94F6C8DC57490DB8773CDBF8CDC6A1",1)</v>
      </c>
    </row>
    <row r="334" ht="110" customHeight="1" spans="1:16">
      <c r="A334" s="6" t="s">
        <v>468</v>
      </c>
      <c r="D334" s="8" t="s">
        <v>187</v>
      </c>
      <c r="E334" s="9" t="s">
        <v>262</v>
      </c>
      <c r="F334" s="10">
        <v>12</v>
      </c>
      <c r="G334" s="10">
        <v>80</v>
      </c>
      <c r="H334" s="11">
        <f t="shared" si="23"/>
        <v>960</v>
      </c>
      <c r="I334" s="11" t="s">
        <v>24</v>
      </c>
      <c r="P334" s="8" t="str">
        <f>_xlfn.DISPIMG("ID_C5819BB7A6A340A6B6C600AF0805123A",1)</f>
        <v>=DISPIMG("ID_C5819BB7A6A340A6B6C600AF0805123A",1)</v>
      </c>
    </row>
    <row r="335" ht="135" customHeight="1" spans="1:16">
      <c r="A335" s="6" t="s">
        <v>468</v>
      </c>
      <c r="D335" s="8" t="s">
        <v>187</v>
      </c>
      <c r="E335" s="9" t="s">
        <v>261</v>
      </c>
      <c r="F335" s="10">
        <v>12</v>
      </c>
      <c r="G335" s="10">
        <v>80</v>
      </c>
      <c r="H335" s="11">
        <f t="shared" si="23"/>
        <v>960</v>
      </c>
      <c r="I335" s="11" t="s">
        <v>24</v>
      </c>
      <c r="P335" s="9" t="str">
        <f t="shared" ref="P334:P337" si="25">_xlfn.DISPIMG("ID_C5819BB7A6A340A6B6C600AF0805123A",1)</f>
        <v>=DISPIMG("ID_C5819BB7A6A340A6B6C600AF0805123A",1)</v>
      </c>
    </row>
    <row r="336" ht="135" customHeight="1" spans="1:16">
      <c r="A336" s="6" t="s">
        <v>468</v>
      </c>
      <c r="D336" s="8" t="s">
        <v>187</v>
      </c>
      <c r="E336" s="9" t="s">
        <v>265</v>
      </c>
      <c r="F336" s="10">
        <v>12</v>
      </c>
      <c r="G336" s="10">
        <v>80</v>
      </c>
      <c r="H336" s="11">
        <f t="shared" si="23"/>
        <v>960</v>
      </c>
      <c r="I336" s="11" t="s">
        <v>24</v>
      </c>
      <c r="P336" s="9" t="str">
        <f t="shared" si="25"/>
        <v>=DISPIMG("ID_C5819BB7A6A340A6B6C600AF0805123A",1)</v>
      </c>
    </row>
    <row r="337" ht="135" customHeight="1" spans="1:19">
      <c r="A337" s="6" t="s">
        <v>468</v>
      </c>
      <c r="D337" s="8" t="s">
        <v>187</v>
      </c>
      <c r="E337" s="9" t="s">
        <v>132</v>
      </c>
      <c r="F337" s="10">
        <v>12</v>
      </c>
      <c r="G337" s="10">
        <v>80</v>
      </c>
      <c r="H337" s="11">
        <f t="shared" si="23"/>
        <v>960</v>
      </c>
      <c r="I337" s="11" t="s">
        <v>24</v>
      </c>
      <c r="P337" s="9" t="str">
        <f t="shared" si="25"/>
        <v>=DISPIMG("ID_C5819BB7A6A340A6B6C600AF0805123A",1)</v>
      </c>
    </row>
    <row r="338" ht="99.2" spans="1:19">
      <c r="A338" s="6" t="s">
        <v>469</v>
      </c>
      <c r="B338" s="7">
        <v>46160</v>
      </c>
      <c r="D338" s="8" t="s">
        <v>106</v>
      </c>
      <c r="E338" s="9" t="s">
        <v>118</v>
      </c>
      <c r="F338" s="10">
        <v>12</v>
      </c>
      <c r="G338" s="10">
        <v>20</v>
      </c>
      <c r="H338" s="11">
        <f t="shared" si="23"/>
        <v>240</v>
      </c>
      <c r="I338" s="11" t="s">
        <v>24</v>
      </c>
      <c r="J338" s="10" t="str">
        <f>_xlfn.DISPIMG("ID_6C2EAC70D4D04A48A52CAAB8531A11B8",1)</f>
        <v>=DISPIMG("ID_6C2EAC70D4D04A48A52CAAB8531A11B8",1)</v>
      </c>
      <c r="K338" s="105">
        <v>46156</v>
      </c>
      <c r="L338" s="8" t="str">
        <f>_xlfn.DISPIMG("ID_B8E0B4FB51F44E6E82C05CA06B598802",1)</f>
        <v>=DISPIMG("ID_B8E0B4FB51F44E6E82C05CA06B598802",1)</v>
      </c>
    </row>
    <row r="339" ht="158.55" spans="1:19">
      <c r="A339" s="6" t="s">
        <v>470</v>
      </c>
      <c r="B339" s="7">
        <v>46162</v>
      </c>
      <c r="D339" s="8" t="s">
        <v>471</v>
      </c>
      <c r="E339" s="9" t="s">
        <v>132</v>
      </c>
      <c r="F339" s="10">
        <v>12</v>
      </c>
      <c r="G339" s="10">
        <v>20</v>
      </c>
      <c r="H339" s="11">
        <f t="shared" si="23"/>
        <v>240</v>
      </c>
      <c r="I339" s="11" t="s">
        <v>24</v>
      </c>
      <c r="J339" s="10" t="str">
        <f>_xlfn.DISPIMG("ID_C90BDAD3623E45478D8CE8AFCC551504",1)</f>
        <v>=DISPIMG("ID_C90BDAD3623E45478D8CE8AFCC551504",1)</v>
      </c>
      <c r="L339" s="8" t="str">
        <f>_xlfn.DISPIMG("ID_A4761402CCEB484D89D6C0E2402C1CD5",1)</f>
        <v>=DISPIMG("ID_A4761402CCEB484D89D6C0E2402C1CD5",1)</v>
      </c>
    </row>
    <row r="340" ht="158.45" spans="1:19">
      <c r="A340" s="6" t="s">
        <v>470</v>
      </c>
      <c r="B340" s="7">
        <v>46162</v>
      </c>
      <c r="D340" s="8" t="s">
        <v>471</v>
      </c>
      <c r="E340" s="9" t="s">
        <v>134</v>
      </c>
      <c r="F340" s="10">
        <v>12</v>
      </c>
      <c r="G340" s="10">
        <v>20</v>
      </c>
      <c r="H340" s="11">
        <f t="shared" si="23"/>
        <v>240</v>
      </c>
      <c r="I340" s="11" t="s">
        <v>24</v>
      </c>
      <c r="J340" s="83" t="str">
        <f>_xlfn.DISPIMG("ID_21E6C970D402480A817DBC6925762403",1)</f>
        <v>=DISPIMG("ID_21E6C970D402480A817DBC6925762403",1)</v>
      </c>
      <c r="L340" s="8" t="str">
        <f>_xlfn.DISPIMG("ID_A4761402CCEB484D89D6C0E2402C1CD5",1)</f>
        <v>=DISPIMG("ID_A4761402CCEB484D89D6C0E2402C1CD5",1)</v>
      </c>
    </row>
    <row r="341" ht="68.25" spans="1:19">
      <c r="A341" s="6" t="s">
        <v>472</v>
      </c>
      <c r="D341" s="8" t="s">
        <v>471</v>
      </c>
      <c r="E341" s="9" t="s">
        <v>132</v>
      </c>
      <c r="F341" s="10">
        <v>12</v>
      </c>
      <c r="G341" s="10">
        <v>7</v>
      </c>
      <c r="H341" s="11">
        <f t="shared" si="23"/>
        <v>84</v>
      </c>
      <c r="I341" s="11" t="s">
        <v>24</v>
      </c>
      <c r="J341" s="10" t="str">
        <f>_xlfn.DISPIMG("ID_C90BDAD3623E45478D8CE8AFCC551504",1)</f>
        <v>=DISPIMG("ID_C90BDAD3623E45478D8CE8AFCC551504",1)</v>
      </c>
      <c r="L341" s="8" t="str">
        <f>_xlfn.DISPIMG("ID_6AE92D02DACE41C98F90FC20EC22030A",1)</f>
        <v>=DISPIMG("ID_6AE92D02DACE41C98F90FC20EC22030A",1)</v>
      </c>
    </row>
    <row r="342" ht="73.05" spans="1:19">
      <c r="A342" s="6" t="s">
        <v>472</v>
      </c>
      <c r="D342" s="8" t="s">
        <v>471</v>
      </c>
      <c r="E342" s="9" t="s">
        <v>134</v>
      </c>
      <c r="F342" s="10">
        <v>12</v>
      </c>
      <c r="G342" s="10">
        <v>7</v>
      </c>
      <c r="H342" s="11">
        <f t="shared" si="23"/>
        <v>84</v>
      </c>
      <c r="I342" s="11" t="s">
        <v>24</v>
      </c>
      <c r="J342" s="83" t="str">
        <f>_xlfn.DISPIMG("ID_21E6C970D402480A817DBC6925762403",1)</f>
        <v>=DISPIMG("ID_21E6C970D402480A817DBC6925762403",1)</v>
      </c>
      <c r="L342" s="8" t="str">
        <f>_xlfn.DISPIMG("ID_6AE92D02DACE41C98F90FC20EC22030A",1)</f>
        <v>=DISPIMG("ID_6AE92D02DACE41C98F90FC20EC22030A",1)</v>
      </c>
    </row>
    <row r="343" ht="67.5" spans="1:19">
      <c r="A343" s="6" t="s">
        <v>470</v>
      </c>
      <c r="B343" s="7">
        <v>46180</v>
      </c>
      <c r="D343" s="8" t="s">
        <v>473</v>
      </c>
      <c r="E343" s="9" t="s">
        <v>262</v>
      </c>
      <c r="F343" s="10">
        <v>12</v>
      </c>
      <c r="G343" s="10">
        <v>5</v>
      </c>
      <c r="H343" s="11">
        <f t="shared" si="23"/>
        <v>60</v>
      </c>
      <c r="I343" s="11" t="s">
        <v>24</v>
      </c>
      <c r="J343" s="9" t="str">
        <f>_xlfn.DISPIMG("ID_336A58A2146649078BAF9869714E918A",1)</f>
        <v>=DISPIMG("ID_336A58A2146649078BAF9869714E918A",1)</v>
      </c>
      <c r="L343" s="8" t="s">
        <v>474</v>
      </c>
    </row>
    <row r="344" ht="49.5" spans="1:19">
      <c r="A344" s="6" t="s">
        <v>470</v>
      </c>
      <c r="B344" s="7">
        <v>46180</v>
      </c>
      <c r="D344" s="8" t="s">
        <v>473</v>
      </c>
      <c r="E344" s="9" t="s">
        <v>261</v>
      </c>
      <c r="F344" s="10">
        <v>12</v>
      </c>
      <c r="G344" s="10">
        <v>5</v>
      </c>
      <c r="H344" s="11">
        <f t="shared" si="23"/>
        <v>60</v>
      </c>
      <c r="I344" s="11" t="s">
        <v>24</v>
      </c>
      <c r="J344" s="9" t="str">
        <f>_xlfn.DISPIMG("ID_C815E6E365644F4FAF9CC517D2CEF331",1)</f>
        <v>=DISPIMG("ID_C815E6E365644F4FAF9CC517D2CEF331",1)</v>
      </c>
      <c r="L344" s="8" t="s">
        <v>474</v>
      </c>
    </row>
    <row r="345" ht="117.4" spans="1:19">
      <c r="A345" s="6" t="s">
        <v>470</v>
      </c>
      <c r="B345" s="7">
        <v>46180</v>
      </c>
      <c r="D345" s="8" t="s">
        <v>473</v>
      </c>
      <c r="E345" s="9" t="s">
        <v>74</v>
      </c>
      <c r="F345" s="10">
        <v>12</v>
      </c>
      <c r="G345" s="10">
        <v>5</v>
      </c>
      <c r="H345" s="11">
        <f t="shared" si="23"/>
        <v>60</v>
      </c>
      <c r="I345" s="11" t="s">
        <v>24</v>
      </c>
      <c r="J345" s="9" t="str">
        <f>_xlfn.DISPIMG("ID_8ABD4CC2671F40CCA5596DE7A97262E9",1)</f>
        <v>=DISPIMG("ID_8ABD4CC2671F40CCA5596DE7A97262E9",1)</v>
      </c>
      <c r="L345" s="8" t="s">
        <v>474</v>
      </c>
    </row>
    <row r="346" ht="68.25" spans="1:19">
      <c r="A346" s="6" t="s">
        <v>470</v>
      </c>
      <c r="B346" s="7">
        <v>46180</v>
      </c>
      <c r="D346" s="8" t="s">
        <v>473</v>
      </c>
      <c r="E346" s="9" t="s">
        <v>76</v>
      </c>
      <c r="F346" s="10">
        <v>12</v>
      </c>
      <c r="G346" s="10">
        <v>5</v>
      </c>
      <c r="H346" s="11">
        <f t="shared" ref="H346:H354" si="26">F346*G346</f>
        <v>60</v>
      </c>
      <c r="I346" s="11" t="s">
        <v>24</v>
      </c>
      <c r="J346" s="9" t="str">
        <f>_xlfn.DISPIMG("ID_311A89627FBE497C8D64DC24508767DC",1)</f>
        <v>=DISPIMG("ID_311A89627FBE497C8D64DC24508767DC",1)</v>
      </c>
      <c r="L346" s="8" t="s">
        <v>474</v>
      </c>
    </row>
    <row r="347" ht="161.5" spans="1:19">
      <c r="A347" s="6" t="s">
        <v>475</v>
      </c>
      <c r="B347" s="7">
        <v>46159</v>
      </c>
      <c r="D347" s="8" t="s">
        <v>476</v>
      </c>
      <c r="E347" s="9" t="s">
        <v>248</v>
      </c>
      <c r="F347" s="10">
        <v>12</v>
      </c>
      <c r="G347" s="10">
        <v>10</v>
      </c>
      <c r="H347" s="11">
        <f t="shared" si="26"/>
        <v>120</v>
      </c>
      <c r="I347" s="11" t="s">
        <v>24</v>
      </c>
      <c r="J347" s="9" t="str">
        <f>_xlfn.DISPIMG("ID_FD365E875F7F4F89B81D48FAC0FE675E",1)</f>
        <v>=DISPIMG("ID_FD365E875F7F4F89B81D48FAC0FE675E",1)</v>
      </c>
      <c r="K347" s="105">
        <v>46162</v>
      </c>
    </row>
    <row r="348" ht="156.85" spans="1:19">
      <c r="A348" s="6" t="s">
        <v>475</v>
      </c>
      <c r="B348" s="7">
        <v>46159</v>
      </c>
      <c r="D348" s="8" t="s">
        <v>476</v>
      </c>
      <c r="E348" s="9" t="s">
        <v>265</v>
      </c>
      <c r="F348" s="10">
        <v>12</v>
      </c>
      <c r="G348" s="10">
        <v>10</v>
      </c>
      <c r="H348" s="11">
        <f t="shared" si="26"/>
        <v>120</v>
      </c>
      <c r="I348" s="11" t="s">
        <v>24</v>
      </c>
      <c r="J348" s="9" t="str">
        <f>_xlfn.DISPIMG("ID_D53CD61BB7D14E79B77A0B1E483F6869",1)</f>
        <v>=DISPIMG("ID_D53CD61BB7D14E79B77A0B1E483F6869",1)</v>
      </c>
      <c r="K348" s="105">
        <v>46162</v>
      </c>
    </row>
    <row r="349" ht="102.4" spans="1:19">
      <c r="A349" s="85" t="s">
        <v>477</v>
      </c>
      <c r="B349" s="86">
        <v>46190</v>
      </c>
      <c r="C349" s="86"/>
      <c r="D349" s="163" t="s">
        <v>426</v>
      </c>
      <c r="E349" s="36" t="s">
        <v>261</v>
      </c>
      <c r="F349" s="36">
        <v>12</v>
      </c>
      <c r="G349" s="36">
        <v>150</v>
      </c>
      <c r="H349" s="123">
        <f t="shared" si="26"/>
        <v>1800</v>
      </c>
      <c r="I349" s="123" t="s">
        <v>24</v>
      </c>
      <c r="J349" s="36" t="str">
        <f t="shared" ref="J349:J353" si="27">_xlfn.DISPIMG("ID_C815E6E365644F4FAF9CC517D2CEF331",1)</f>
        <v>=DISPIMG("ID_C815E6E365644F4FAF9CC517D2CEF331",1)</v>
      </c>
      <c r="K349" s="36"/>
      <c r="L349" s="8" t="s">
        <v>478</v>
      </c>
      <c r="P349" s="9" t="str">
        <f>_xlfn.DISPIMG("ID_FB040745A17842CB8769514C391A1B35",1)</f>
        <v>=DISPIMG("ID_FB040745A17842CB8769514C391A1B35",1)</v>
      </c>
    </row>
    <row r="350" ht="139.85" spans="1:19">
      <c r="A350" s="6" t="s">
        <v>479</v>
      </c>
      <c r="B350" s="7">
        <v>46169</v>
      </c>
      <c r="D350" s="8" t="s">
        <v>480</v>
      </c>
      <c r="E350" s="9" t="s">
        <v>261</v>
      </c>
      <c r="F350" s="10">
        <v>12</v>
      </c>
      <c r="G350" s="10">
        <v>20</v>
      </c>
      <c r="H350" s="11">
        <f t="shared" si="26"/>
        <v>240</v>
      </c>
      <c r="I350" s="11" t="s">
        <v>24</v>
      </c>
      <c r="J350" s="9" t="str">
        <f t="shared" si="27"/>
        <v>=DISPIMG("ID_C815E6E365644F4FAF9CC517D2CEF331",1)</v>
      </c>
      <c r="K350" s="105" t="s">
        <v>481</v>
      </c>
      <c r="M350" s="9" t="str">
        <f>_xlfn.DISPIMG("ID_C450803A1FBB4D11A3B11D7575AEE4E7",1)</f>
        <v>=DISPIMG("ID_C450803A1FBB4D11A3B11D7575AEE4E7",1)</v>
      </c>
    </row>
    <row r="351" ht="184.45" spans="1:19">
      <c r="A351" s="6" t="s">
        <v>482</v>
      </c>
      <c r="B351" s="7">
        <v>46167</v>
      </c>
      <c r="D351" s="8" t="s">
        <v>483</v>
      </c>
      <c r="E351" s="9" t="s">
        <v>261</v>
      </c>
      <c r="F351" s="10">
        <v>12</v>
      </c>
      <c r="G351" s="10">
        <v>20</v>
      </c>
      <c r="H351" s="11">
        <f t="shared" si="26"/>
        <v>240</v>
      </c>
      <c r="I351" s="11" t="s">
        <v>24</v>
      </c>
      <c r="J351" s="9" t="str">
        <f t="shared" si="27"/>
        <v>=DISPIMG("ID_C815E6E365644F4FAF9CC517D2CEF331",1)</v>
      </c>
      <c r="K351" s="105">
        <v>46167</v>
      </c>
      <c r="L351" s="8" t="s">
        <v>484</v>
      </c>
      <c r="M351" s="8" t="str">
        <f>_xlfn.DISPIMG("ID_1A1E631973C04FE4AF7DA1222E6F0960",1)</f>
        <v>=DISPIMG("ID_1A1E631973C04FE4AF7DA1222E6F0960",1)</v>
      </c>
    </row>
    <row r="352" s="36" customFormat="1" ht="170.5" spans="1:19">
      <c r="A352" s="85" t="s">
        <v>485</v>
      </c>
      <c r="B352" s="86">
        <v>46189</v>
      </c>
      <c r="C352" s="86"/>
      <c r="D352" s="163" t="s">
        <v>486</v>
      </c>
      <c r="E352" s="36" t="s">
        <v>261</v>
      </c>
      <c r="F352" s="36">
        <v>12</v>
      </c>
      <c r="G352" s="36">
        <v>150</v>
      </c>
      <c r="H352" s="123">
        <f t="shared" si="26"/>
        <v>1800</v>
      </c>
      <c r="I352" s="123" t="s">
        <v>24</v>
      </c>
      <c r="J352" s="36" t="str">
        <f t="shared" si="27"/>
        <v>=DISPIMG("ID_C815E6E365644F4FAF9CC517D2CEF331",1)</v>
      </c>
      <c r="K352" s="164">
        <v>46189</v>
      </c>
      <c r="L352" s="163" t="s">
        <v>223</v>
      </c>
      <c r="P352" s="36" t="str">
        <f>_xlfn.DISPIMG("ID_0657B3F3F0B14549B06DD45855A5BCDA",1)</f>
        <v>=DISPIMG("ID_0657B3F3F0B14549B06DD45855A5BCDA",1)</v>
      </c>
      <c r="Q352" s="163"/>
      <c r="R352" s="163"/>
      <c r="S352" s="163"/>
    </row>
    <row r="353" s="36" customFormat="1" ht="87.6" spans="1:19">
      <c r="A353" s="85" t="s">
        <v>487</v>
      </c>
      <c r="B353" s="86">
        <v>46157</v>
      </c>
      <c r="C353" s="86"/>
      <c r="D353" s="163" t="s">
        <v>185</v>
      </c>
      <c r="E353" s="36" t="s">
        <v>261</v>
      </c>
      <c r="F353" s="36">
        <v>12</v>
      </c>
      <c r="G353" s="36">
        <v>150</v>
      </c>
      <c r="H353" s="123">
        <f t="shared" si="26"/>
        <v>1800</v>
      </c>
      <c r="I353" s="123" t="s">
        <v>24</v>
      </c>
      <c r="J353" s="36" t="str">
        <f t="shared" si="27"/>
        <v>=DISPIMG("ID_C815E6E365644F4FAF9CC517D2CEF331",1)</v>
      </c>
      <c r="K353" s="164"/>
      <c r="L353" s="163"/>
      <c r="Q353" s="163"/>
      <c r="R353" s="163"/>
      <c r="S353" s="163"/>
    </row>
    <row r="354" s="36" customFormat="1" ht="156.85" spans="1:19">
      <c r="A354" s="85" t="s">
        <v>487</v>
      </c>
      <c r="B354" s="86">
        <v>46157</v>
      </c>
      <c r="C354" s="86"/>
      <c r="D354" s="163" t="s">
        <v>185</v>
      </c>
      <c r="E354" s="9" t="s">
        <v>265</v>
      </c>
      <c r="F354" s="10">
        <v>12</v>
      </c>
      <c r="G354" s="10">
        <v>50</v>
      </c>
      <c r="H354" s="11">
        <f t="shared" si="26"/>
        <v>600</v>
      </c>
      <c r="I354" s="11" t="s">
        <v>24</v>
      </c>
      <c r="J354" s="9" t="str">
        <f>_xlfn.DISPIMG("ID_A784C1DAC66D40A3AA4DBB3EBF7BD8B9",1)</f>
        <v>=DISPIMG("ID_A784C1DAC66D40A3AA4DBB3EBF7BD8B9",1)</v>
      </c>
      <c r="K354" s="164"/>
      <c r="L354" s="163"/>
      <c r="Q354" s="163"/>
      <c r="R354" s="163"/>
      <c r="S354" s="163"/>
    </row>
    <row r="355" s="36" customFormat="1" ht="49.5" spans="1:19">
      <c r="A355" s="85" t="s">
        <v>488</v>
      </c>
      <c r="B355" s="86">
        <v>46175</v>
      </c>
      <c r="C355" s="86"/>
      <c r="D355" s="163" t="s">
        <v>489</v>
      </c>
      <c r="E355" s="36" t="s">
        <v>261</v>
      </c>
      <c r="F355" s="36">
        <v>12</v>
      </c>
      <c r="G355" s="36">
        <v>65</v>
      </c>
      <c r="H355" s="123">
        <f t="shared" ref="H355:H362" si="28">F355*G355</f>
        <v>780</v>
      </c>
      <c r="I355" s="123" t="s">
        <v>24</v>
      </c>
      <c r="J355" s="36" t="str">
        <f>_xlfn.DISPIMG("ID_C815E6E365644F4FAF9CC517D2CEF331",1)</f>
        <v>=DISPIMG("ID_C815E6E365644F4FAF9CC517D2CEF331",1)</v>
      </c>
      <c r="K355" s="164">
        <v>46166</v>
      </c>
      <c r="L355" s="163" t="s">
        <v>392</v>
      </c>
      <c r="Q355" s="163"/>
      <c r="R355" s="163"/>
      <c r="S355" s="163"/>
    </row>
    <row r="356" s="38" customFormat="1" ht="156.85" spans="1:19">
      <c r="A356" s="165" t="s">
        <v>488</v>
      </c>
      <c r="B356" s="166">
        <v>46172</v>
      </c>
      <c r="C356" s="166"/>
      <c r="D356" s="167" t="s">
        <v>489</v>
      </c>
      <c r="E356" s="38" t="s">
        <v>265</v>
      </c>
      <c r="F356" s="38">
        <v>12</v>
      </c>
      <c r="G356" s="38">
        <v>5</v>
      </c>
      <c r="H356" s="168">
        <f t="shared" si="28"/>
        <v>60</v>
      </c>
      <c r="I356" s="168" t="s">
        <v>24</v>
      </c>
      <c r="J356" s="38" t="str">
        <f>_xlfn.DISPIMG("ID_A784C1DAC66D40A3AA4DBB3EBF7BD8B9",1)</f>
        <v>=DISPIMG("ID_A784C1DAC66D40A3AA4DBB3EBF7BD8B9",1)</v>
      </c>
      <c r="K356" s="169">
        <v>46166</v>
      </c>
      <c r="L356" s="167" t="s">
        <v>490</v>
      </c>
      <c r="Q356" s="167"/>
      <c r="R356" s="167"/>
      <c r="S356" s="167"/>
    </row>
    <row r="357" ht="156.85" spans="1:19">
      <c r="A357" s="6" t="s">
        <v>491</v>
      </c>
      <c r="B357" s="7">
        <v>46172</v>
      </c>
      <c r="D357" s="8" t="s">
        <v>492</v>
      </c>
      <c r="E357" s="9" t="s">
        <v>265</v>
      </c>
      <c r="F357" s="10">
        <v>12</v>
      </c>
      <c r="G357" s="10">
        <v>25</v>
      </c>
      <c r="H357" s="11">
        <f t="shared" si="28"/>
        <v>300</v>
      </c>
      <c r="I357" s="11" t="s">
        <v>24</v>
      </c>
      <c r="J357" s="9" t="str">
        <f>_xlfn.DISPIMG("ID_A784C1DAC66D40A3AA4DBB3EBF7BD8B9",1)</f>
        <v>=DISPIMG("ID_A784C1DAC66D40A3AA4DBB3EBF7BD8B9",1)</v>
      </c>
      <c r="L357" s="8" t="s">
        <v>112</v>
      </c>
    </row>
    <row r="358" spans="1:19">
      <c r="A358" s="6" t="s">
        <v>493</v>
      </c>
      <c r="B358" s="7">
        <v>46175</v>
      </c>
      <c r="D358" s="8" t="s">
        <v>211</v>
      </c>
      <c r="E358" s="9" t="s">
        <v>265</v>
      </c>
      <c r="F358" s="10">
        <v>12</v>
      </c>
      <c r="G358" s="10">
        <v>5</v>
      </c>
      <c r="H358" s="11">
        <f t="shared" si="28"/>
        <v>60</v>
      </c>
      <c r="I358" s="11" t="s">
        <v>24</v>
      </c>
    </row>
    <row r="359" ht="120.15" spans="1:19">
      <c r="A359" s="6" t="s">
        <v>494</v>
      </c>
      <c r="B359" s="7">
        <v>46159</v>
      </c>
      <c r="D359" s="8" t="s">
        <v>185</v>
      </c>
      <c r="E359" s="9" t="s">
        <v>262</v>
      </c>
      <c r="F359" s="10">
        <v>12</v>
      </c>
      <c r="G359" s="10">
        <v>62</v>
      </c>
      <c r="H359" s="11">
        <f t="shared" si="28"/>
        <v>744</v>
      </c>
      <c r="I359" s="11" t="s">
        <v>24</v>
      </c>
      <c r="J359" s="9" t="str">
        <f>_xlfn.DISPIMG("ID_336A58A2146649078BAF9869714E918A",1)</f>
        <v>=DISPIMG("ID_336A58A2146649078BAF9869714E918A",1)</v>
      </c>
    </row>
    <row r="360" ht="381.15" spans="1:19">
      <c r="A360" s="6" t="s">
        <v>495</v>
      </c>
      <c r="B360" s="7">
        <v>46203</v>
      </c>
      <c r="D360" s="8" t="s">
        <v>496</v>
      </c>
      <c r="E360" s="9" t="s">
        <v>261</v>
      </c>
      <c r="F360" s="10">
        <v>12</v>
      </c>
      <c r="G360" s="10">
        <v>80</v>
      </c>
      <c r="H360" s="11">
        <f t="shared" si="28"/>
        <v>960</v>
      </c>
      <c r="I360" s="11" t="s">
        <v>24</v>
      </c>
      <c r="J360" s="36" t="str">
        <f>_xlfn.DISPIMG("ID_C815E6E365644F4FAF9CC517D2CEF331",1)</f>
        <v>=DISPIMG("ID_C815E6E365644F4FAF9CC517D2CEF331",1)</v>
      </c>
      <c r="L360" s="8" t="s">
        <v>497</v>
      </c>
      <c r="M360" s="9" t="str">
        <f>_xlfn.DISPIMG("ID_981069EDAC5248B2B92EB10D5224C053",1)</f>
        <v>=DISPIMG("ID_981069EDAC5248B2B92EB10D5224C053",1)</v>
      </c>
      <c r="P360" s="9" t="str">
        <f>_xlfn.DISPIMG("ID_CBDB4DD2D02E41559FCBBBFBB5E45379",1)</f>
        <v>=DISPIMG("ID_CBDB4DD2D02E41559FCBBBFBB5E45379",1)</v>
      </c>
    </row>
    <row r="361" ht="67.5" spans="1:19">
      <c r="A361" s="6" t="s">
        <v>498</v>
      </c>
      <c r="B361" s="7">
        <v>46205</v>
      </c>
      <c r="D361" s="8" t="s">
        <v>499</v>
      </c>
      <c r="E361" s="9" t="s">
        <v>262</v>
      </c>
      <c r="F361" s="10">
        <v>12</v>
      </c>
      <c r="G361" s="10">
        <v>30</v>
      </c>
      <c r="H361" s="11">
        <f t="shared" si="28"/>
        <v>360</v>
      </c>
      <c r="I361" s="11" t="s">
        <v>24</v>
      </c>
      <c r="J361" s="9" t="str">
        <f>_xlfn.DISPIMG("ID_336A58A2146649078BAF9869714E918A",1)</f>
        <v>=DISPIMG("ID_336A58A2146649078BAF9869714E918A",1)</v>
      </c>
      <c r="L361" s="8" t="s">
        <v>500</v>
      </c>
    </row>
    <row r="362" ht="49.5" spans="1:19">
      <c r="A362" s="6" t="s">
        <v>501</v>
      </c>
      <c r="B362" s="7">
        <v>46204</v>
      </c>
      <c r="D362" s="8" t="s">
        <v>502</v>
      </c>
      <c r="E362" s="9" t="s">
        <v>261</v>
      </c>
      <c r="F362" s="10">
        <v>12</v>
      </c>
      <c r="G362" s="10">
        <v>5</v>
      </c>
      <c r="H362" s="11">
        <f t="shared" si="28"/>
        <v>60</v>
      </c>
      <c r="I362" s="11" t="s">
        <v>24</v>
      </c>
      <c r="J362" s="36" t="str">
        <f>_xlfn.DISPIMG("ID_C815E6E365644F4FAF9CC517D2CEF331",1)</f>
        <v>=DISPIMG("ID_C815E6E365644F4FAF9CC517D2CEF331",1)</v>
      </c>
      <c r="L362" s="8" t="s">
        <v>503</v>
      </c>
    </row>
    <row r="363" ht="100.95" spans="1:19">
      <c r="A363" s="6" t="s">
        <v>504</v>
      </c>
      <c r="B363" s="7">
        <v>46170</v>
      </c>
      <c r="D363" s="8" t="s">
        <v>106</v>
      </c>
      <c r="E363" s="9" t="s">
        <v>261</v>
      </c>
      <c r="F363" s="10">
        <v>12</v>
      </c>
      <c r="G363" s="10">
        <v>5</v>
      </c>
      <c r="H363" s="11">
        <f t="shared" ref="H363:H369" si="29">F363*G363</f>
        <v>60</v>
      </c>
      <c r="I363" s="11" t="s">
        <v>24</v>
      </c>
      <c r="J363" s="36" t="str">
        <f>_xlfn.DISPIMG("ID_C815E6E365644F4FAF9CC517D2CEF331",1)</f>
        <v>=DISPIMG("ID_C815E6E365644F4FAF9CC517D2CEF331",1)</v>
      </c>
      <c r="L363" s="8" t="str">
        <f>_xlfn.DISPIMG("ID_9C0084371E604797B99E6F0B10C4A803",1)</f>
        <v>=DISPIMG("ID_9C0084371E604797B99E6F0B10C4A803",1)</v>
      </c>
      <c r="M363" s="9" t="str">
        <f>_xlfn.DISPIMG("ID_131B7B7FB96B45758E1118FB2BA0933C",1)</f>
        <v>=DISPIMG("ID_131B7B7FB96B45758E1118FB2BA0933C",1)</v>
      </c>
      <c r="O363" s="9" t="str">
        <f>_xlfn.DISPIMG("ID_A1A49704A3E94C3491C4102B1EB1369A",1)</f>
        <v>=DISPIMG("ID_A1A49704A3E94C3491C4102B1EB1369A",1)</v>
      </c>
    </row>
    <row r="364" ht="100.95" spans="1:19">
      <c r="A364" s="6" t="s">
        <v>504</v>
      </c>
      <c r="B364" s="7">
        <v>46170</v>
      </c>
      <c r="D364" s="8" t="s">
        <v>106</v>
      </c>
      <c r="E364" s="9" t="s">
        <v>262</v>
      </c>
      <c r="F364" s="10">
        <v>12</v>
      </c>
      <c r="G364" s="10">
        <v>5</v>
      </c>
      <c r="H364" s="11">
        <f t="shared" si="29"/>
        <v>60</v>
      </c>
      <c r="I364" s="11" t="s">
        <v>24</v>
      </c>
      <c r="J364" s="9" t="str">
        <f>_xlfn.DISPIMG("ID_336A58A2146649078BAF9869714E918A",1)</f>
        <v>=DISPIMG("ID_336A58A2146649078BAF9869714E918A",1)</v>
      </c>
      <c r="L364" s="8" t="str">
        <f>_xlfn.DISPIMG("ID_9C0084371E604797B99E6F0B10C4A803",1)</f>
        <v>=DISPIMG("ID_9C0084371E604797B99E6F0B10C4A803",1)</v>
      </c>
      <c r="M364" s="9" t="str">
        <f>_xlfn.DISPIMG("ID_131B7B7FB96B45758E1118FB2BA0933C",1)</f>
        <v>=DISPIMG("ID_131B7B7FB96B45758E1118FB2BA0933C",1)</v>
      </c>
      <c r="O364" s="9" t="str">
        <f>_xlfn.DISPIMG("ID_A1A49704A3E94C3491C4102B1EB1369A",1)</f>
        <v>=DISPIMG("ID_A1A49704A3E94C3491C4102B1EB1369A",1)</v>
      </c>
    </row>
    <row r="365" ht="100.45" spans="1:19">
      <c r="A365" s="6" t="s">
        <v>504</v>
      </c>
      <c r="B365" s="7">
        <v>46170</v>
      </c>
      <c r="D365" s="8" t="s">
        <v>106</v>
      </c>
      <c r="E365" s="9" t="s">
        <v>117</v>
      </c>
      <c r="F365" s="10">
        <v>12</v>
      </c>
      <c r="G365" s="10">
        <v>7</v>
      </c>
      <c r="H365" s="11">
        <f t="shared" si="29"/>
        <v>84</v>
      </c>
      <c r="I365" s="11" t="s">
        <v>24</v>
      </c>
      <c r="J365" s="9" t="str">
        <f>_xlfn.DISPIMG("ID_311A89627FBE497C8D64DC24508767DC",1)</f>
        <v>=DISPIMG("ID_311A89627FBE497C8D64DC24508767DC",1)</v>
      </c>
      <c r="L365" s="8" t="str">
        <f>_xlfn.DISPIMG("ID_9C0084371E604797B99E6F0B10C4A803",1)</f>
        <v>=DISPIMG("ID_9C0084371E604797B99E6F0B10C4A803",1)</v>
      </c>
      <c r="M365" s="9" t="str">
        <f>_xlfn.DISPIMG("ID_131B7B7FB96B45758E1118FB2BA0933C",1)</f>
        <v>=DISPIMG("ID_131B7B7FB96B45758E1118FB2BA0933C",1)</v>
      </c>
      <c r="O365" s="9" t="str">
        <f>_xlfn.DISPIMG("ID_A1A49704A3E94C3491C4102B1EB1369A",1)</f>
        <v>=DISPIMG("ID_A1A49704A3E94C3491C4102B1EB1369A",1)</v>
      </c>
    </row>
    <row r="366" spans="1:19">
      <c r="A366" s="6" t="s">
        <v>468</v>
      </c>
      <c r="B366" s="7">
        <v>46161</v>
      </c>
      <c r="D366" s="8" t="s">
        <v>187</v>
      </c>
      <c r="E366" s="9" t="s">
        <v>262</v>
      </c>
      <c r="F366" s="10">
        <v>12</v>
      </c>
      <c r="G366" s="10">
        <v>30</v>
      </c>
      <c r="H366" s="11">
        <f t="shared" si="29"/>
        <v>360</v>
      </c>
      <c r="I366" s="11" t="s">
        <v>24</v>
      </c>
    </row>
    <row r="367" spans="1:19">
      <c r="A367" s="6" t="s">
        <v>468</v>
      </c>
      <c r="B367" s="7">
        <v>46161</v>
      </c>
      <c r="D367" s="8" t="s">
        <v>187</v>
      </c>
      <c r="E367" s="9" t="s">
        <v>261</v>
      </c>
      <c r="F367" s="10">
        <v>12</v>
      </c>
      <c r="G367" s="10">
        <v>30</v>
      </c>
      <c r="H367" s="11">
        <f t="shared" si="29"/>
        <v>360</v>
      </c>
      <c r="I367" s="11" t="s">
        <v>24</v>
      </c>
    </row>
    <row r="368" spans="1:19">
      <c r="A368" s="6" t="s">
        <v>468</v>
      </c>
      <c r="B368" s="7">
        <v>46161</v>
      </c>
      <c r="D368" s="8" t="s">
        <v>187</v>
      </c>
      <c r="E368" s="9" t="s">
        <v>265</v>
      </c>
      <c r="F368" s="10">
        <v>12</v>
      </c>
      <c r="G368" s="10">
        <v>30</v>
      </c>
      <c r="H368" s="11">
        <f t="shared" si="29"/>
        <v>360</v>
      </c>
      <c r="I368" s="11" t="s">
        <v>24</v>
      </c>
    </row>
    <row r="369" spans="1:12">
      <c r="A369" s="6" t="s">
        <v>468</v>
      </c>
      <c r="B369" s="7">
        <v>46161</v>
      </c>
      <c r="D369" s="8" t="s">
        <v>187</v>
      </c>
      <c r="E369" s="9" t="s">
        <v>132</v>
      </c>
      <c r="F369" s="10">
        <v>12</v>
      </c>
      <c r="G369" s="10">
        <v>30</v>
      </c>
      <c r="H369" s="11">
        <f t="shared" si="29"/>
        <v>360</v>
      </c>
      <c r="I369" s="11" t="s">
        <v>24</v>
      </c>
    </row>
    <row r="370" ht="68.25" spans="1:12">
      <c r="A370" s="6" t="s">
        <v>505</v>
      </c>
      <c r="B370" s="7">
        <v>46162</v>
      </c>
      <c r="D370" s="8" t="s">
        <v>145</v>
      </c>
      <c r="E370" s="9" t="s">
        <v>265</v>
      </c>
      <c r="F370" s="10"/>
      <c r="G370" s="10"/>
      <c r="H370" s="11">
        <v>45</v>
      </c>
      <c r="I370" s="11" t="s">
        <v>24</v>
      </c>
      <c r="J370" s="9" t="str">
        <f>_xlfn.DISPIMG("ID_A784C1DAC66D40A3AA4DBB3EBF7BD8B9",1)</f>
        <v>=DISPIMG("ID_A784C1DAC66D40A3AA4DBB3EBF7BD8B9",1)</v>
      </c>
      <c r="L370" s="8" t="s">
        <v>506</v>
      </c>
    </row>
    <row r="371" spans="1:12">
      <c r="A371" s="6" t="s">
        <v>507</v>
      </c>
      <c r="B371" s="7">
        <v>46162</v>
      </c>
      <c r="D371" s="8" t="s">
        <v>508</v>
      </c>
      <c r="E371" s="9" t="s">
        <v>262</v>
      </c>
      <c r="F371" s="10">
        <v>12</v>
      </c>
      <c r="G371" s="10">
        <v>2</v>
      </c>
      <c r="H371" s="11">
        <f t="shared" ref="H371:H376" si="30">F371*G371</f>
        <v>24</v>
      </c>
      <c r="I371" s="11" t="s">
        <v>24</v>
      </c>
    </row>
    <row r="372" spans="1:12">
      <c r="A372" s="6" t="s">
        <v>507</v>
      </c>
      <c r="B372" s="7">
        <v>46162</v>
      </c>
      <c r="D372" s="8" t="s">
        <v>508</v>
      </c>
      <c r="E372" s="9" t="s">
        <v>261</v>
      </c>
      <c r="F372" s="10">
        <v>12</v>
      </c>
      <c r="G372" s="10">
        <v>2</v>
      </c>
      <c r="H372" s="11">
        <f t="shared" si="30"/>
        <v>24</v>
      </c>
      <c r="I372" s="11" t="s">
        <v>24</v>
      </c>
    </row>
    <row r="373" spans="1:12">
      <c r="A373" s="6" t="s">
        <v>507</v>
      </c>
      <c r="B373" s="7">
        <v>46162</v>
      </c>
      <c r="D373" s="8" t="s">
        <v>508</v>
      </c>
      <c r="E373" s="9" t="s">
        <v>265</v>
      </c>
      <c r="F373" s="10">
        <v>12</v>
      </c>
      <c r="G373" s="10">
        <v>2</v>
      </c>
      <c r="H373" s="11">
        <f t="shared" si="30"/>
        <v>24</v>
      </c>
      <c r="I373" s="11" t="s">
        <v>24</v>
      </c>
    </row>
    <row r="374" spans="1:12">
      <c r="A374" s="6" t="s">
        <v>507</v>
      </c>
      <c r="B374" s="7">
        <v>46162</v>
      </c>
      <c r="D374" s="8" t="s">
        <v>508</v>
      </c>
      <c r="E374" s="9" t="s">
        <v>248</v>
      </c>
      <c r="F374" s="10">
        <v>12</v>
      </c>
      <c r="G374" s="10">
        <v>2</v>
      </c>
      <c r="H374" s="11">
        <f t="shared" si="30"/>
        <v>24</v>
      </c>
      <c r="I374" s="11" t="s">
        <v>24</v>
      </c>
    </row>
    <row r="375" spans="1:12">
      <c r="A375" s="6" t="s">
        <v>507</v>
      </c>
      <c r="B375" s="7">
        <v>46162</v>
      </c>
      <c r="D375" s="8" t="s">
        <v>508</v>
      </c>
      <c r="E375" s="9" t="s">
        <v>76</v>
      </c>
      <c r="F375" s="10">
        <v>12</v>
      </c>
      <c r="G375" s="10">
        <v>2</v>
      </c>
      <c r="H375" s="11">
        <f t="shared" si="30"/>
        <v>24</v>
      </c>
      <c r="I375" s="11" t="s">
        <v>24</v>
      </c>
    </row>
    <row r="376" spans="1:12">
      <c r="A376" s="6" t="s">
        <v>507</v>
      </c>
      <c r="B376" s="7">
        <v>46162</v>
      </c>
      <c r="D376" s="8" t="s">
        <v>508</v>
      </c>
      <c r="E376" s="9" t="s">
        <v>77</v>
      </c>
      <c r="F376" s="10">
        <v>12</v>
      </c>
      <c r="G376" s="10">
        <v>2</v>
      </c>
      <c r="H376" s="11">
        <f t="shared" si="30"/>
        <v>24</v>
      </c>
      <c r="I376" s="11" t="s">
        <v>24</v>
      </c>
    </row>
    <row r="377" spans="1:12">
      <c r="A377" s="6" t="s">
        <v>509</v>
      </c>
      <c r="B377" s="7">
        <v>46162</v>
      </c>
      <c r="D377" s="8" t="s">
        <v>508</v>
      </c>
      <c r="E377" s="9" t="s">
        <v>510</v>
      </c>
      <c r="F377" s="10">
        <v>12</v>
      </c>
      <c r="G377" s="10">
        <v>2</v>
      </c>
      <c r="H377" s="11">
        <f t="shared" ref="H377:H383" si="31">F377*G377</f>
        <v>24</v>
      </c>
      <c r="I377" s="11" t="s">
        <v>24</v>
      </c>
    </row>
    <row r="378" spans="1:12">
      <c r="A378" s="6" t="s">
        <v>509</v>
      </c>
      <c r="B378" s="7">
        <v>46162</v>
      </c>
      <c r="D378" s="8" t="s">
        <v>508</v>
      </c>
      <c r="E378" s="9" t="s">
        <v>511</v>
      </c>
      <c r="F378" s="10">
        <v>12</v>
      </c>
      <c r="G378" s="10">
        <v>2</v>
      </c>
      <c r="H378" s="11">
        <f t="shared" si="31"/>
        <v>24</v>
      </c>
      <c r="I378" s="11" t="s">
        <v>24</v>
      </c>
    </row>
    <row r="379" spans="1:12">
      <c r="A379" s="6" t="s">
        <v>512</v>
      </c>
      <c r="B379" s="7">
        <v>46172</v>
      </c>
      <c r="D379" s="8" t="s">
        <v>513</v>
      </c>
      <c r="E379" s="9" t="s">
        <v>74</v>
      </c>
      <c r="F379" s="10">
        <v>12</v>
      </c>
      <c r="G379" s="10">
        <v>10</v>
      </c>
      <c r="H379" s="11">
        <f t="shared" si="31"/>
        <v>120</v>
      </c>
      <c r="I379" s="11" t="s">
        <v>24</v>
      </c>
    </row>
    <row r="380" spans="1:12">
      <c r="A380" s="6" t="s">
        <v>512</v>
      </c>
      <c r="B380" s="7">
        <v>46172</v>
      </c>
      <c r="D380" s="8" t="s">
        <v>513</v>
      </c>
      <c r="E380" s="9" t="s">
        <v>76</v>
      </c>
      <c r="F380" s="10">
        <v>12</v>
      </c>
      <c r="G380" s="10">
        <v>10</v>
      </c>
      <c r="H380" s="11">
        <f t="shared" si="31"/>
        <v>120</v>
      </c>
      <c r="I380" s="11" t="s">
        <v>24</v>
      </c>
    </row>
    <row r="381" spans="1:12">
      <c r="A381" s="6" t="s">
        <v>512</v>
      </c>
      <c r="B381" s="7">
        <v>46172</v>
      </c>
      <c r="D381" s="8" t="s">
        <v>513</v>
      </c>
      <c r="E381" s="9" t="s">
        <v>77</v>
      </c>
      <c r="F381" s="10">
        <v>12</v>
      </c>
      <c r="G381" s="10">
        <v>10</v>
      </c>
      <c r="H381" s="11">
        <f t="shared" si="31"/>
        <v>120</v>
      </c>
      <c r="I381" s="11" t="s">
        <v>24</v>
      </c>
    </row>
    <row r="382" ht="123.5" spans="1:12">
      <c r="A382" s="6" t="s">
        <v>514</v>
      </c>
      <c r="B382" s="7">
        <v>46169</v>
      </c>
      <c r="D382" s="8" t="s">
        <v>515</v>
      </c>
      <c r="E382" s="9" t="s">
        <v>285</v>
      </c>
      <c r="F382" s="10">
        <v>12</v>
      </c>
      <c r="G382" s="10">
        <v>3</v>
      </c>
      <c r="H382" s="11">
        <f t="shared" si="31"/>
        <v>36</v>
      </c>
      <c r="I382" s="11" t="s">
        <v>24</v>
      </c>
      <c r="J382" s="10" t="str">
        <f>_xlfn.DISPIMG("ID_06CF54BDFF2B4EDD99F8EDC8F92F6DCD",1)</f>
        <v>=DISPIMG("ID_06CF54BDFF2B4EDD99F8EDC8F92F6DCD",1)</v>
      </c>
      <c r="L382" s="8" t="s">
        <v>516</v>
      </c>
    </row>
    <row r="383" ht="48" spans="1:12">
      <c r="A383" s="6" t="s">
        <v>517</v>
      </c>
      <c r="B383" s="7">
        <v>46179</v>
      </c>
      <c r="D383" s="8" t="s">
        <v>518</v>
      </c>
      <c r="E383" s="9" t="s">
        <v>386</v>
      </c>
      <c r="F383" s="10">
        <v>12</v>
      </c>
      <c r="G383" s="10">
        <v>5</v>
      </c>
      <c r="H383" s="11">
        <f t="shared" si="31"/>
        <v>60</v>
      </c>
      <c r="I383" s="11" t="s">
        <v>24</v>
      </c>
      <c r="J383" s="9" t="str">
        <f>_xlfn.DISPIMG("ID_9870FF0C10FD4067A959D8FE7FE22B70",1)</f>
        <v>=DISPIMG("ID_9870FF0C10FD4067A959D8FE7FE22B70",1)</v>
      </c>
      <c r="L383" s="8" t="s">
        <v>519</v>
      </c>
    </row>
    <row r="384" ht="104.25" spans="1:12">
      <c r="A384" s="6" t="s">
        <v>520</v>
      </c>
      <c r="B384" s="7">
        <v>46210</v>
      </c>
      <c r="D384" s="8" t="s">
        <v>420</v>
      </c>
      <c r="E384" s="9" t="s">
        <v>76</v>
      </c>
      <c r="F384" s="10">
        <v>12</v>
      </c>
      <c r="G384" s="10">
        <v>30</v>
      </c>
      <c r="H384" s="11">
        <f t="shared" ref="H384:H390" si="32">F384*G384</f>
        <v>360</v>
      </c>
      <c r="I384" s="11" t="s">
        <v>24</v>
      </c>
      <c r="J384" s="9" t="str">
        <f>_xlfn.DISPIMG("ID_5AF3D471B29D4B5C9D98A98EF767B0F3",1)</f>
        <v>=DISPIMG("ID_5AF3D471B29D4B5C9D98A98EF767B0F3",1)</v>
      </c>
      <c r="K384" s="105">
        <v>46210</v>
      </c>
      <c r="L384" s="8" t="s">
        <v>521</v>
      </c>
    </row>
    <row r="385" ht="104.25" spans="1:16">
      <c r="A385" s="6" t="s">
        <v>522</v>
      </c>
      <c r="B385" s="7">
        <v>46172</v>
      </c>
      <c r="D385" s="8" t="s">
        <v>523</v>
      </c>
      <c r="E385" s="9" t="s">
        <v>76</v>
      </c>
      <c r="F385" s="10">
        <v>12</v>
      </c>
      <c r="G385" s="10">
        <v>30</v>
      </c>
      <c r="H385" s="11">
        <f t="shared" si="32"/>
        <v>360</v>
      </c>
      <c r="I385" s="11" t="s">
        <v>24</v>
      </c>
      <c r="J385" s="9" t="str">
        <f>_xlfn.DISPIMG("ID_5AF3D471B29D4B5C9D98A98EF767B0F3",1)</f>
        <v>=DISPIMG("ID_5AF3D471B29D4B5C9D98A98EF767B0F3",1)</v>
      </c>
    </row>
    <row r="386" ht="95.05" spans="1:16">
      <c r="A386" s="6" t="s">
        <v>524</v>
      </c>
      <c r="D386" s="8" t="s">
        <v>525</v>
      </c>
      <c r="E386" s="9" t="s">
        <v>526</v>
      </c>
      <c r="F386" s="10"/>
      <c r="G386" s="10"/>
      <c r="H386" s="11">
        <v>2800</v>
      </c>
      <c r="I386" s="11" t="s">
        <v>24</v>
      </c>
      <c r="L386" s="9" t="str">
        <f>_xlfn.DISPIMG("ID_F98ED0305BAB4539A99E3FBCA13AB198",1)</f>
        <v>=DISPIMG("ID_F98ED0305BAB4539A99E3FBCA13AB198",1)</v>
      </c>
    </row>
    <row r="387" ht="49.5" spans="1:16">
      <c r="A387" s="6" t="s">
        <v>527</v>
      </c>
      <c r="B387" s="7">
        <v>46172</v>
      </c>
      <c r="D387" s="8" t="s">
        <v>528</v>
      </c>
      <c r="E387" s="9" t="s">
        <v>261</v>
      </c>
      <c r="F387" s="10">
        <v>12</v>
      </c>
      <c r="G387" s="10">
        <v>15</v>
      </c>
      <c r="H387" s="11">
        <f t="shared" si="32"/>
        <v>180</v>
      </c>
      <c r="I387" s="11" t="s">
        <v>24</v>
      </c>
      <c r="J387" s="9" t="str">
        <f>_xlfn.DISPIMG("ID_90A4D3CB50FA471E9495FE44510079EE",1)</f>
        <v>=DISPIMG("ID_90A4D3CB50FA471E9495FE44510079EE",1)</v>
      </c>
      <c r="L387" s="9" t="s">
        <v>529</v>
      </c>
    </row>
    <row r="388" ht="156.85" spans="1:16">
      <c r="A388" s="6" t="s">
        <v>527</v>
      </c>
      <c r="B388" s="7">
        <v>46172</v>
      </c>
      <c r="D388" s="8" t="s">
        <v>528</v>
      </c>
      <c r="E388" s="9" t="s">
        <v>265</v>
      </c>
      <c r="F388" s="10">
        <v>12</v>
      </c>
      <c r="G388" s="10">
        <v>5</v>
      </c>
      <c r="H388" s="11">
        <f t="shared" si="32"/>
        <v>60</v>
      </c>
      <c r="I388" s="11" t="s">
        <v>24</v>
      </c>
      <c r="J388" s="9" t="str">
        <f>_xlfn.DISPIMG("ID_1B3310145A4243A1BE6D8921012EC9CA",1)</f>
        <v>=DISPIMG("ID_1B3310145A4243A1BE6D8921012EC9CA",1)</v>
      </c>
      <c r="L388" s="9" t="s">
        <v>529</v>
      </c>
    </row>
    <row r="389" ht="49.5" spans="1:16">
      <c r="A389" s="6" t="s">
        <v>530</v>
      </c>
      <c r="B389" s="7">
        <v>46165</v>
      </c>
      <c r="D389" s="8" t="s">
        <v>185</v>
      </c>
      <c r="E389" s="9" t="s">
        <v>261</v>
      </c>
      <c r="F389" s="10">
        <v>12</v>
      </c>
      <c r="G389" s="10">
        <v>100</v>
      </c>
      <c r="H389" s="11">
        <f t="shared" si="32"/>
        <v>1200</v>
      </c>
      <c r="I389" s="11" t="s">
        <v>24</v>
      </c>
      <c r="J389" s="9" t="str">
        <f>_xlfn.DISPIMG("ID_90A4D3CB50FA471E9495FE44510079EE",1)</f>
        <v>=DISPIMG("ID_90A4D3CB50FA471E9495FE44510079EE",1)</v>
      </c>
      <c r="L389" s="9"/>
    </row>
    <row r="390" ht="156.85" spans="1:16">
      <c r="A390" s="6" t="s">
        <v>530</v>
      </c>
      <c r="B390" s="7">
        <v>46165</v>
      </c>
      <c r="D390" s="8" t="s">
        <v>185</v>
      </c>
      <c r="E390" s="9" t="s">
        <v>265</v>
      </c>
      <c r="F390" s="10">
        <v>12</v>
      </c>
      <c r="G390" s="10">
        <v>100</v>
      </c>
      <c r="H390" s="11">
        <f t="shared" si="32"/>
        <v>1200</v>
      </c>
      <c r="I390" s="11" t="s">
        <v>24</v>
      </c>
      <c r="J390" s="9" t="str">
        <f>_xlfn.DISPIMG("ID_1B3310145A4243A1BE6D8921012EC9CA",1)</f>
        <v>=DISPIMG("ID_1B3310145A4243A1BE6D8921012EC9CA",1)</v>
      </c>
      <c r="L390" s="9"/>
    </row>
    <row r="391" ht="156.85" spans="1:16">
      <c r="A391" s="6" t="s">
        <v>531</v>
      </c>
      <c r="B391" s="7">
        <v>46170</v>
      </c>
      <c r="D391" s="8" t="s">
        <v>142</v>
      </c>
      <c r="E391" s="9" t="s">
        <v>265</v>
      </c>
      <c r="F391" s="10">
        <v>12</v>
      </c>
      <c r="G391" s="10">
        <v>50</v>
      </c>
      <c r="H391" s="11">
        <f t="shared" ref="H391:H397" si="33">F391*G391</f>
        <v>600</v>
      </c>
      <c r="I391" s="11" t="s">
        <v>24</v>
      </c>
      <c r="J391" s="9" t="str">
        <f>_xlfn.DISPIMG("ID_A784C1DAC66D40A3AA4DBB3EBF7BD8B9",1)</f>
        <v>=DISPIMG("ID_A784C1DAC66D40A3AA4DBB3EBF7BD8B9",1)</v>
      </c>
      <c r="L391" s="8" t="s">
        <v>532</v>
      </c>
    </row>
    <row r="392" ht="49.5" spans="1:16">
      <c r="A392" s="6" t="s">
        <v>533</v>
      </c>
      <c r="B392" s="7">
        <v>46175</v>
      </c>
      <c r="D392" s="8" t="s">
        <v>534</v>
      </c>
      <c r="E392" s="9" t="s">
        <v>261</v>
      </c>
      <c r="F392" s="10">
        <v>12</v>
      </c>
      <c r="G392" s="10">
        <v>20</v>
      </c>
      <c r="H392" s="11">
        <f t="shared" si="33"/>
        <v>240</v>
      </c>
      <c r="I392" s="11" t="s">
        <v>24</v>
      </c>
      <c r="J392" s="9" t="str">
        <f>_xlfn.DISPIMG("ID_90A4D3CB50FA471E9495FE44510079EE",1)</f>
        <v>=DISPIMG("ID_90A4D3CB50FA471E9495FE44510079EE",1)</v>
      </c>
    </row>
    <row r="393" ht="123.9" spans="1:16">
      <c r="A393" s="6" t="s">
        <v>535</v>
      </c>
      <c r="D393" s="8" t="s">
        <v>536</v>
      </c>
      <c r="E393" s="9" t="s">
        <v>262</v>
      </c>
      <c r="F393" s="10">
        <v>12</v>
      </c>
      <c r="G393" s="10">
        <v>50</v>
      </c>
      <c r="H393" s="11">
        <f t="shared" si="33"/>
        <v>600</v>
      </c>
      <c r="I393" s="11" t="s">
        <v>24</v>
      </c>
      <c r="J393" s="9" t="str">
        <f>_xlfn.DISPIMG("ID_FFBDC16C987548529BF764022FB02F09",1)</f>
        <v>=DISPIMG("ID_FFBDC16C987548529BF764022FB02F09",1)</v>
      </c>
      <c r="L393" s="8" t="s">
        <v>537</v>
      </c>
      <c r="M393" s="9" t="str">
        <f>_xlfn.DISPIMG("ID_0E888F0B8DC142BDAE02DD7EC8FCB5C7",1)</f>
        <v>=DISPIMG("ID_0E888F0B8DC142BDAE02DD7EC8FCB5C7",1)</v>
      </c>
      <c r="P393" s="9" t="str">
        <f>_xlfn.DISPIMG("ID_1598AF5198AE4F13AD48A445BC6BFC2D",1)</f>
        <v>=DISPIMG("ID_1598AF5198AE4F13AD48A445BC6BFC2D",1)</v>
      </c>
    </row>
    <row r="394" ht="123.9" spans="1:16">
      <c r="A394" s="6" t="s">
        <v>535</v>
      </c>
      <c r="D394" s="8" t="s">
        <v>536</v>
      </c>
      <c r="E394" s="9" t="s">
        <v>261</v>
      </c>
      <c r="F394" s="10">
        <v>12</v>
      </c>
      <c r="G394" s="10">
        <v>50</v>
      </c>
      <c r="H394" s="11">
        <f t="shared" si="33"/>
        <v>600</v>
      </c>
      <c r="I394" s="11" t="s">
        <v>24</v>
      </c>
      <c r="J394" s="9" t="str">
        <f>_xlfn.DISPIMG("ID_90A4D3CB50FA471E9495FE44510079EE",1)</f>
        <v>=DISPIMG("ID_90A4D3CB50FA471E9495FE44510079EE",1)</v>
      </c>
      <c r="L394" s="8" t="s">
        <v>537</v>
      </c>
      <c r="M394" s="9" t="str">
        <f>_xlfn.DISPIMG("ID_0E888F0B8DC142BDAE02DD7EC8FCB5C7",1)</f>
        <v>=DISPIMG("ID_0E888F0B8DC142BDAE02DD7EC8FCB5C7",1)</v>
      </c>
      <c r="P394" s="9" t="str">
        <f>_xlfn.DISPIMG("ID_1598AF5198AE4F13AD48A445BC6BFC2D",1)</f>
        <v>=DISPIMG("ID_1598AF5198AE4F13AD48A445BC6BFC2D",1)</v>
      </c>
    </row>
    <row r="395" ht="123.9" spans="1:16">
      <c r="A395" s="6" t="s">
        <v>535</v>
      </c>
      <c r="D395" s="8" t="s">
        <v>536</v>
      </c>
      <c r="E395" s="9" t="s">
        <v>265</v>
      </c>
      <c r="F395" s="10">
        <v>12</v>
      </c>
      <c r="G395" s="10">
        <v>50</v>
      </c>
      <c r="H395" s="11">
        <f t="shared" si="33"/>
        <v>600</v>
      </c>
      <c r="I395" s="11" t="s">
        <v>24</v>
      </c>
      <c r="J395" s="9" t="str">
        <f>_xlfn.DISPIMG("ID_A784C1DAC66D40A3AA4DBB3EBF7BD8B9",1)</f>
        <v>=DISPIMG("ID_A784C1DAC66D40A3AA4DBB3EBF7BD8B9",1)</v>
      </c>
      <c r="L395" s="8" t="s">
        <v>537</v>
      </c>
      <c r="M395" s="9" t="str">
        <f>_xlfn.DISPIMG("ID_0E888F0B8DC142BDAE02DD7EC8FCB5C7",1)</f>
        <v>=DISPIMG("ID_0E888F0B8DC142BDAE02DD7EC8FCB5C7",1)</v>
      </c>
      <c r="P395" s="9" t="str">
        <f>_xlfn.DISPIMG("ID_1598AF5198AE4F13AD48A445BC6BFC2D",1)</f>
        <v>=DISPIMG("ID_1598AF5198AE4F13AD48A445BC6BFC2D",1)</v>
      </c>
    </row>
    <row r="396" ht="67.5" spans="1:16">
      <c r="A396" s="6" t="s">
        <v>538</v>
      </c>
      <c r="B396" s="7">
        <v>46166</v>
      </c>
      <c r="D396" s="8" t="s">
        <v>185</v>
      </c>
      <c r="E396" s="9" t="s">
        <v>262</v>
      </c>
      <c r="F396" s="10">
        <v>12</v>
      </c>
      <c r="G396" s="10">
        <v>50</v>
      </c>
      <c r="H396" s="11">
        <f t="shared" si="33"/>
        <v>600</v>
      </c>
      <c r="I396" s="11" t="s">
        <v>24</v>
      </c>
      <c r="J396" s="9" t="str">
        <f>_xlfn.DISPIMG("ID_5B2F8AC9611142789555070C0A5C1443",1)</f>
        <v>=DISPIMG("ID_5B2F8AC9611142789555070C0A5C1443",1)</v>
      </c>
    </row>
    <row r="397" spans="1:16">
      <c r="A397" s="6" t="s">
        <v>539</v>
      </c>
      <c r="B397" s="7">
        <v>46166</v>
      </c>
      <c r="D397" s="8" t="s">
        <v>185</v>
      </c>
      <c r="E397" s="9" t="s">
        <v>118</v>
      </c>
      <c r="F397" s="10">
        <v>12</v>
      </c>
      <c r="G397" s="10">
        <v>31</v>
      </c>
      <c r="H397" s="11">
        <f t="shared" si="33"/>
        <v>372</v>
      </c>
      <c r="I397" s="11" t="s">
        <v>24</v>
      </c>
    </row>
    <row r="398" ht="156.85" spans="1:16">
      <c r="A398" s="6" t="s">
        <v>540</v>
      </c>
      <c r="B398" s="7">
        <v>46167</v>
      </c>
      <c r="D398" s="8" t="s">
        <v>145</v>
      </c>
      <c r="E398" s="9" t="s">
        <v>265</v>
      </c>
      <c r="F398" s="10"/>
      <c r="G398" s="10"/>
      <c r="H398" s="11">
        <v>50</v>
      </c>
      <c r="I398" s="11" t="s">
        <v>24</v>
      </c>
      <c r="J398" s="9" t="str">
        <f>_xlfn.DISPIMG("ID_A784C1DAC66D40A3AA4DBB3EBF7BD8B9",1)</f>
        <v>=DISPIMG("ID_A784C1DAC66D40A3AA4DBB3EBF7BD8B9",1)</v>
      </c>
      <c r="L398" s="8" t="s">
        <v>541</v>
      </c>
    </row>
    <row r="399" ht="67.5" spans="1:16">
      <c r="A399" s="6" t="s">
        <v>542</v>
      </c>
      <c r="B399" s="7">
        <v>46189</v>
      </c>
      <c r="D399" s="8" t="s">
        <v>543</v>
      </c>
      <c r="E399" s="9" t="s">
        <v>262</v>
      </c>
      <c r="F399" s="10">
        <v>12</v>
      </c>
      <c r="G399" s="10">
        <v>10</v>
      </c>
      <c r="H399" s="11">
        <f>F399*G399</f>
        <v>120</v>
      </c>
      <c r="I399" s="11" t="s">
        <v>24</v>
      </c>
      <c r="J399" s="9" t="str">
        <f>_xlfn.DISPIMG("ID_5B2F8AC9611142789555070C0A5C1443",1)</f>
        <v>=DISPIMG("ID_5B2F8AC9611142789555070C0A5C1443",1)</v>
      </c>
      <c r="K399" s="105">
        <v>46185</v>
      </c>
    </row>
    <row r="400" ht="65.25" spans="1:16">
      <c r="A400" s="6" t="s">
        <v>542</v>
      </c>
      <c r="B400" s="7">
        <v>46189</v>
      </c>
      <c r="D400" s="8" t="s">
        <v>543</v>
      </c>
      <c r="E400" s="9" t="s">
        <v>409</v>
      </c>
      <c r="F400" s="10">
        <v>12</v>
      </c>
      <c r="G400" s="10">
        <v>20</v>
      </c>
      <c r="H400" s="11">
        <f>F400*G400</f>
        <v>240</v>
      </c>
      <c r="I400" s="11" t="s">
        <v>24</v>
      </c>
      <c r="J400" s="9" t="str">
        <f>_xlfn.DISPIMG("ID_5009E0D8BC7B499BAD62B033DF5C3507",1)</f>
        <v>=DISPIMG("ID_5009E0D8BC7B499BAD62B033DF5C3507",1)</v>
      </c>
      <c r="K400" s="105">
        <v>46185</v>
      </c>
    </row>
    <row r="401" ht="66.75" spans="1:13">
      <c r="A401" s="6" t="s">
        <v>542</v>
      </c>
      <c r="B401" s="7">
        <v>46189</v>
      </c>
      <c r="D401" s="8" t="s">
        <v>543</v>
      </c>
      <c r="E401" s="9" t="s">
        <v>221</v>
      </c>
      <c r="F401" s="10">
        <v>12</v>
      </c>
      <c r="G401" s="10">
        <v>20</v>
      </c>
      <c r="H401" s="11">
        <f>F401*G401</f>
        <v>240</v>
      </c>
      <c r="I401" s="11" t="s">
        <v>24</v>
      </c>
      <c r="J401" s="9" t="str">
        <f>_xlfn.DISPIMG("ID_97C42809ACBF40448BD2932C5552A72F",1)</f>
        <v>=DISPIMG("ID_97C42809ACBF40448BD2932C5552A72F",1)</v>
      </c>
      <c r="K401" s="105">
        <v>46185</v>
      </c>
    </row>
    <row r="402" ht="67.5" spans="1:13">
      <c r="A402" s="6" t="s">
        <v>542</v>
      </c>
      <c r="B402" s="7">
        <v>46189</v>
      </c>
      <c r="D402" s="8" t="s">
        <v>543</v>
      </c>
      <c r="E402" s="9" t="s">
        <v>285</v>
      </c>
      <c r="F402" s="10">
        <v>12</v>
      </c>
      <c r="G402" s="10">
        <v>5</v>
      </c>
      <c r="H402" s="11">
        <f>F402*G402</f>
        <v>60</v>
      </c>
      <c r="I402" s="11" t="s">
        <v>24</v>
      </c>
      <c r="J402" s="9" t="str">
        <f>_xlfn.DISPIMG("ID_7BB055A3316B478898C3371941006268",1)</f>
        <v>=DISPIMG("ID_7BB055A3316B478898C3371941006268",1)</v>
      </c>
      <c r="K402" s="105">
        <v>46185</v>
      </c>
    </row>
    <row r="403" ht="68.25" spans="1:13">
      <c r="A403" s="6" t="s">
        <v>542</v>
      </c>
      <c r="B403" s="7">
        <v>46189</v>
      </c>
      <c r="D403" s="8" t="s">
        <v>543</v>
      </c>
      <c r="E403" s="9" t="s">
        <v>544</v>
      </c>
      <c r="F403" s="10">
        <v>12</v>
      </c>
      <c r="G403" s="10">
        <v>5</v>
      </c>
      <c r="H403" s="11">
        <f>F403*G403</f>
        <v>60</v>
      </c>
      <c r="I403" s="11" t="s">
        <v>24</v>
      </c>
      <c r="J403" s="9" t="str">
        <f>_xlfn.DISPIMG("ID_4C0A5BC6189540089DA3F8B8646F97FB",1)</f>
        <v>=DISPIMG("ID_4C0A5BC6189540089DA3F8B8646F97FB",1)</v>
      </c>
      <c r="K403" s="105">
        <v>46185</v>
      </c>
    </row>
    <row r="404" ht="68.25" spans="1:13">
      <c r="A404" s="6" t="s">
        <v>542</v>
      </c>
      <c r="B404" s="7" t="s">
        <v>545</v>
      </c>
      <c r="D404" s="8" t="s">
        <v>543</v>
      </c>
      <c r="E404" s="9" t="s">
        <v>546</v>
      </c>
      <c r="F404" s="10">
        <v>12</v>
      </c>
      <c r="G404" s="10">
        <v>5</v>
      </c>
      <c r="H404" s="11">
        <f t="shared" ref="H404:H416" si="34">F404*G404</f>
        <v>60</v>
      </c>
      <c r="I404" s="11" t="s">
        <v>24</v>
      </c>
      <c r="J404" s="9" t="str">
        <f>_xlfn.DISPIMG("ID_25C5ECAAC014465B95463D84BF318C00",1)</f>
        <v>=DISPIMG("ID_25C5ECAAC014465B95463D84BF318C00",1)</v>
      </c>
      <c r="K404" s="105">
        <v>46183</v>
      </c>
      <c r="L404" s="8" t="s">
        <v>547</v>
      </c>
    </row>
    <row r="405" ht="68.25" spans="1:13">
      <c r="A405" s="6" t="s">
        <v>542</v>
      </c>
      <c r="B405" s="7">
        <v>46189</v>
      </c>
      <c r="D405" s="8" t="s">
        <v>543</v>
      </c>
      <c r="E405" s="9" t="s">
        <v>548</v>
      </c>
      <c r="F405" s="10">
        <v>12</v>
      </c>
      <c r="G405" s="10">
        <v>20</v>
      </c>
      <c r="H405" s="11">
        <f t="shared" si="34"/>
        <v>240</v>
      </c>
      <c r="I405" s="11" t="s">
        <v>24</v>
      </c>
      <c r="J405" s="9" t="str">
        <f>_xlfn.DISPIMG("ID_951F72BA26434BA1AC06DC23964440F0",1)</f>
        <v>=DISPIMG("ID_951F72BA26434BA1AC06DC23964440F0",1)</v>
      </c>
      <c r="K405" s="105">
        <v>46185</v>
      </c>
    </row>
    <row r="406" ht="67.5" spans="1:13">
      <c r="A406" s="6" t="s">
        <v>542</v>
      </c>
      <c r="B406" s="7">
        <v>46189</v>
      </c>
      <c r="D406" s="8" t="s">
        <v>543</v>
      </c>
      <c r="E406" s="9" t="s">
        <v>278</v>
      </c>
      <c r="F406" s="10">
        <v>12</v>
      </c>
      <c r="G406" s="10">
        <v>15</v>
      </c>
      <c r="H406" s="11">
        <f t="shared" si="34"/>
        <v>180</v>
      </c>
      <c r="I406" s="11" t="s">
        <v>24</v>
      </c>
      <c r="J406" s="9" t="str">
        <f>_xlfn.DISPIMG("ID_E659F83EADCA495CB4D7BB311834834A",1)</f>
        <v>=DISPIMG("ID_E659F83EADCA495CB4D7BB311834834A",1)</v>
      </c>
      <c r="K406" s="105">
        <v>46185</v>
      </c>
    </row>
    <row r="407" ht="67.5" spans="1:13">
      <c r="A407" s="6" t="s">
        <v>542</v>
      </c>
      <c r="B407" s="7">
        <v>46189</v>
      </c>
      <c r="D407" s="8" t="s">
        <v>543</v>
      </c>
      <c r="E407" s="9" t="s">
        <v>510</v>
      </c>
      <c r="F407" s="10">
        <v>12</v>
      </c>
      <c r="G407" s="10">
        <v>15</v>
      </c>
      <c r="H407" s="11">
        <f t="shared" si="34"/>
        <v>180</v>
      </c>
      <c r="I407" s="11" t="s">
        <v>24</v>
      </c>
      <c r="J407" s="9" t="str">
        <f>_xlfn.DISPIMG("ID_0AFA714943AC4C808C993487F19D3FE0",1)</f>
        <v>=DISPIMG("ID_0AFA714943AC4C808C993487F19D3FE0",1)</v>
      </c>
      <c r="K407" s="105">
        <v>46185</v>
      </c>
    </row>
    <row r="408" ht="66.75" spans="1:13">
      <c r="A408" s="6" t="s">
        <v>542</v>
      </c>
      <c r="B408" s="7">
        <v>46189</v>
      </c>
      <c r="D408" s="8" t="s">
        <v>543</v>
      </c>
      <c r="E408" s="9" t="s">
        <v>511</v>
      </c>
      <c r="F408" s="10">
        <v>12</v>
      </c>
      <c r="G408" s="10">
        <v>10</v>
      </c>
      <c r="H408" s="11">
        <f t="shared" si="34"/>
        <v>120</v>
      </c>
      <c r="I408" s="11" t="s">
        <v>24</v>
      </c>
      <c r="J408" s="10" t="str">
        <f>_xlfn.DISPIMG("ID_5621099B5D3F4D87A9AC370F502975C6",1)</f>
        <v>=DISPIMG("ID_5621099B5D3F4D87A9AC370F502975C6",1)</v>
      </c>
      <c r="K408" s="105">
        <v>46185</v>
      </c>
    </row>
    <row r="409" spans="1:13">
      <c r="A409" s="6" t="s">
        <v>549</v>
      </c>
      <c r="B409" s="7">
        <v>46167</v>
      </c>
      <c r="D409" s="8" t="s">
        <v>187</v>
      </c>
      <c r="E409" s="9" t="s">
        <v>261</v>
      </c>
      <c r="F409" s="10">
        <v>12</v>
      </c>
      <c r="G409" s="10">
        <v>20</v>
      </c>
      <c r="H409" s="11">
        <f t="shared" si="34"/>
        <v>240</v>
      </c>
      <c r="I409" s="11" t="s">
        <v>24</v>
      </c>
      <c r="J409" s="10"/>
    </row>
    <row r="410" spans="1:13">
      <c r="A410" s="6" t="s">
        <v>549</v>
      </c>
      <c r="B410" s="7">
        <v>46167</v>
      </c>
      <c r="D410" s="8" t="s">
        <v>187</v>
      </c>
      <c r="E410" s="9" t="s">
        <v>510</v>
      </c>
      <c r="F410" s="10">
        <v>12</v>
      </c>
      <c r="G410" s="10">
        <v>20</v>
      </c>
      <c r="H410" s="11">
        <f t="shared" si="34"/>
        <v>240</v>
      </c>
      <c r="I410" s="11" t="s">
        <v>24</v>
      </c>
      <c r="J410" s="10"/>
    </row>
    <row r="411" ht="194.05" spans="1:13">
      <c r="A411" s="6" t="s">
        <v>550</v>
      </c>
      <c r="B411" s="7">
        <v>46168</v>
      </c>
      <c r="D411" s="8" t="s">
        <v>145</v>
      </c>
      <c r="E411" s="9" t="s">
        <v>262</v>
      </c>
      <c r="F411" s="10">
        <v>12</v>
      </c>
      <c r="G411" s="10">
        <v>2</v>
      </c>
      <c r="H411" s="11">
        <f t="shared" si="34"/>
        <v>24</v>
      </c>
      <c r="I411" s="11" t="s">
        <v>24</v>
      </c>
      <c r="J411" s="9" t="str">
        <f>_xlfn.DISPIMG("ID_5B2F8AC9611142789555070C0A5C1443",1)</f>
        <v>=DISPIMG("ID_5B2F8AC9611142789555070C0A5C1443",1)</v>
      </c>
      <c r="M411" s="9" t="str">
        <f>_xlfn.DISPIMG("ID_588BE35C494F44309F4369528398C10B",1)</f>
        <v>=DISPIMG("ID_588BE35C494F44309F4369528398C10B",1)</v>
      </c>
    </row>
    <row r="412" ht="194.05" spans="1:13">
      <c r="A412" s="6" t="s">
        <v>550</v>
      </c>
      <c r="B412" s="7">
        <v>46168</v>
      </c>
      <c r="D412" s="8" t="s">
        <v>145</v>
      </c>
      <c r="E412" s="9" t="s">
        <v>261</v>
      </c>
      <c r="F412" s="10">
        <v>12</v>
      </c>
      <c r="G412" s="10">
        <v>4</v>
      </c>
      <c r="H412" s="11">
        <f t="shared" si="34"/>
        <v>48</v>
      </c>
      <c r="I412" s="11" t="s">
        <v>24</v>
      </c>
      <c r="J412" s="9" t="str">
        <f t="shared" ref="J412:J415" si="35">_xlfn.DISPIMG("ID_90A4D3CB50FA471E9495FE44510079EE",1)</f>
        <v>=DISPIMG("ID_90A4D3CB50FA471E9495FE44510079EE",1)</v>
      </c>
      <c r="M412" s="9" t="str">
        <f>_xlfn.DISPIMG("ID_588BE35C494F44309F4369528398C10B",1)</f>
        <v>=DISPIMG("ID_588BE35C494F44309F4369528398C10B",1)</v>
      </c>
    </row>
    <row r="413" ht="193.8" spans="1:13">
      <c r="A413" s="6" t="s">
        <v>550</v>
      </c>
      <c r="B413" s="7">
        <v>46168</v>
      </c>
      <c r="D413" s="8" t="s">
        <v>145</v>
      </c>
      <c r="E413" s="9" t="s">
        <v>162</v>
      </c>
      <c r="F413" s="10">
        <v>12</v>
      </c>
      <c r="G413" s="10">
        <v>3</v>
      </c>
      <c r="H413" s="11">
        <f t="shared" si="34"/>
        <v>36</v>
      </c>
      <c r="I413" s="11" t="s">
        <v>24</v>
      </c>
      <c r="J413" s="9" t="str">
        <f>_xlfn.DISPIMG("ID_9D41DBFF50754FC3B3461F34011E1230",1)</f>
        <v>=DISPIMG("ID_9D41DBFF50754FC3B3461F34011E1230",1)</v>
      </c>
      <c r="M413" s="9" t="str">
        <f>_xlfn.DISPIMG("ID_588BE35C494F44309F4369528398C10B",1)</f>
        <v>=DISPIMG("ID_588BE35C494F44309F4369528398C10B",1)</v>
      </c>
    </row>
    <row r="414" ht="390.45" spans="1:13">
      <c r="A414" s="6" t="s">
        <v>551</v>
      </c>
      <c r="B414" s="7">
        <v>46170</v>
      </c>
      <c r="D414" s="8" t="s">
        <v>106</v>
      </c>
      <c r="E414" s="9" t="s">
        <v>261</v>
      </c>
      <c r="F414" s="10">
        <v>12</v>
      </c>
      <c r="G414" s="10">
        <v>25</v>
      </c>
      <c r="H414" s="11">
        <f t="shared" si="34"/>
        <v>300</v>
      </c>
      <c r="I414" s="11" t="s">
        <v>24</v>
      </c>
      <c r="J414" s="9" t="str">
        <f t="shared" si="35"/>
        <v>=DISPIMG("ID_90A4D3CB50FA471E9495FE44510079EE",1)</v>
      </c>
      <c r="M414" s="9" t="str">
        <f>_xlfn.DISPIMG("ID_1A212C5094A848C9A3199B04C0BA0CEA",1)</f>
        <v>=DISPIMG("ID_1A212C5094A848C9A3199B04C0BA0CEA",1)</v>
      </c>
    </row>
    <row r="415" ht="361.05" spans="1:13">
      <c r="A415" s="6" t="s">
        <v>551</v>
      </c>
      <c r="B415" s="7">
        <v>46170</v>
      </c>
      <c r="D415" s="8" t="s">
        <v>106</v>
      </c>
      <c r="E415" s="9" t="s">
        <v>301</v>
      </c>
      <c r="F415" s="10">
        <v>12</v>
      </c>
      <c r="G415" s="10">
        <v>25</v>
      </c>
      <c r="H415" s="11">
        <f t="shared" si="34"/>
        <v>300</v>
      </c>
      <c r="I415" s="11" t="s">
        <v>24</v>
      </c>
      <c r="J415" s="9" t="str">
        <f t="shared" si="35"/>
        <v>=DISPIMG("ID_90A4D3CB50FA471E9495FE44510079EE",1)</v>
      </c>
      <c r="M415" s="9" t="str">
        <f>_xlfn.DISPIMG("ID_C59B12E29E3546A9BE662784169B1652",1)</f>
        <v>=DISPIMG("ID_C59B12E29E3546A9BE662784169B1652",1)</v>
      </c>
    </row>
    <row r="416" ht="134.4" spans="1:13">
      <c r="A416" s="6" t="s">
        <v>552</v>
      </c>
      <c r="B416" s="7">
        <v>46170</v>
      </c>
      <c r="D416" s="8" t="s">
        <v>106</v>
      </c>
      <c r="E416" s="9" t="s">
        <v>23</v>
      </c>
      <c r="F416" s="10">
        <v>12</v>
      </c>
      <c r="G416" s="10">
        <v>30</v>
      </c>
      <c r="H416" s="11">
        <f t="shared" si="34"/>
        <v>360</v>
      </c>
      <c r="I416" s="11" t="s">
        <v>24</v>
      </c>
      <c r="J416" s="9" t="str">
        <f>_xlfn.DISPIMG("ID_BEA6D3FBC0604C77A00E6684135F07C0",1)</f>
        <v>=DISPIMG("ID_BEA6D3FBC0604C77A00E6684135F07C0",1)</v>
      </c>
    </row>
    <row r="417" ht="102.5" spans="1:13">
      <c r="A417" s="6" t="s">
        <v>553</v>
      </c>
      <c r="B417" s="7">
        <v>46169</v>
      </c>
      <c r="D417" s="8" t="s">
        <v>145</v>
      </c>
      <c r="E417" s="9" t="s">
        <v>118</v>
      </c>
      <c r="F417" s="10"/>
      <c r="G417" s="10"/>
      <c r="H417" s="11">
        <v>93</v>
      </c>
      <c r="I417" s="11" t="s">
        <v>24</v>
      </c>
      <c r="J417" s="9" t="str">
        <f>_xlfn.DISPIMG("ID_F65F231025A44D098809673657870CAD",1)</f>
        <v>=DISPIMG("ID_F65F231025A44D098809673657870CAD",1)</v>
      </c>
    </row>
    <row r="418" ht="68.25" spans="1:13">
      <c r="A418" s="6" t="s">
        <v>554</v>
      </c>
      <c r="B418" s="7">
        <v>46177</v>
      </c>
      <c r="D418" s="8" t="s">
        <v>555</v>
      </c>
      <c r="E418" s="9" t="s">
        <v>285</v>
      </c>
      <c r="F418" s="10">
        <v>12</v>
      </c>
      <c r="G418" s="10">
        <v>4</v>
      </c>
      <c r="H418" s="11">
        <f t="shared" ref="H418:H427" si="36">F418*G418</f>
        <v>48</v>
      </c>
      <c r="I418" s="11" t="s">
        <v>24</v>
      </c>
      <c r="J418" s="9" t="str">
        <f>_xlfn.DISPIMG("ID_AAE33DD8676E47ECB2526B2073597BE9",1)</f>
        <v>=DISPIMG("ID_AAE33DD8676E47ECB2526B2073597BE9",1)</v>
      </c>
    </row>
    <row r="419" ht="124.85" spans="1:13">
      <c r="A419" s="6" t="s">
        <v>554</v>
      </c>
      <c r="B419" s="7">
        <v>46177</v>
      </c>
      <c r="D419" s="8" t="s">
        <v>555</v>
      </c>
      <c r="E419" s="9" t="s">
        <v>544</v>
      </c>
      <c r="F419" s="10">
        <v>12</v>
      </c>
      <c r="G419" s="10">
        <v>3</v>
      </c>
      <c r="H419" s="11">
        <f t="shared" si="36"/>
        <v>36</v>
      </c>
      <c r="I419" s="11" t="s">
        <v>24</v>
      </c>
      <c r="J419" s="9" t="str">
        <f>_xlfn.DISPIMG("ID_5D8F3E0908FE4CB3BDABA7F3D36B2CE9",1)</f>
        <v>=DISPIMG("ID_5D8F3E0908FE4CB3BDABA7F3D36B2CE9",1)</v>
      </c>
    </row>
    <row r="420" ht="49.5" spans="1:13">
      <c r="A420" s="6" t="s">
        <v>554</v>
      </c>
      <c r="B420" s="7">
        <v>46177</v>
      </c>
      <c r="D420" s="8" t="s">
        <v>555</v>
      </c>
      <c r="E420" s="9" t="s">
        <v>261</v>
      </c>
      <c r="F420" s="10">
        <v>12</v>
      </c>
      <c r="G420" s="10">
        <v>4</v>
      </c>
      <c r="H420" s="11">
        <f t="shared" si="36"/>
        <v>48</v>
      </c>
      <c r="I420" s="11" t="s">
        <v>24</v>
      </c>
      <c r="J420" s="9" t="str">
        <f>_xlfn.DISPIMG("ID_F79E0AEE85B84290AE349E58EA96F5ED",1)</f>
        <v>=DISPIMG("ID_F79E0AEE85B84290AE349E58EA96F5ED",1)</v>
      </c>
    </row>
    <row r="421" ht="156.85" spans="1:13">
      <c r="A421" s="6" t="s">
        <v>554</v>
      </c>
      <c r="B421" s="7">
        <v>46177</v>
      </c>
      <c r="D421" s="8" t="s">
        <v>555</v>
      </c>
      <c r="E421" s="9" t="s">
        <v>265</v>
      </c>
      <c r="F421" s="10">
        <v>12</v>
      </c>
      <c r="G421" s="10">
        <v>2</v>
      </c>
      <c r="H421" s="11">
        <f t="shared" si="36"/>
        <v>24</v>
      </c>
      <c r="I421" s="11" t="s">
        <v>24</v>
      </c>
      <c r="J421" s="9" t="str">
        <f t="shared" ref="J421:J423" si="37">_xlfn.DISPIMG("ID_578F005980BB4DAFA2F82F30D51B3921",1)</f>
        <v>=DISPIMG("ID_578F005980BB4DAFA2F82F30D51B3921",1)</v>
      </c>
    </row>
    <row r="422" ht="68.25" spans="1:13">
      <c r="A422" s="6" t="s">
        <v>556</v>
      </c>
      <c r="B422" s="7">
        <v>46186</v>
      </c>
      <c r="D422" s="8" t="s">
        <v>557</v>
      </c>
      <c r="E422" s="9" t="s">
        <v>265</v>
      </c>
      <c r="F422" s="10">
        <v>12</v>
      </c>
      <c r="G422" s="10">
        <v>15</v>
      </c>
      <c r="H422" s="11">
        <f t="shared" si="36"/>
        <v>180</v>
      </c>
      <c r="I422" s="11" t="s">
        <v>24</v>
      </c>
      <c r="J422" s="9" t="str">
        <f t="shared" si="37"/>
        <v>=DISPIMG("ID_578F005980BB4DAFA2F82F30D51B3921",1)</v>
      </c>
    </row>
    <row r="423" ht="117.4" spans="1:13">
      <c r="A423" s="6" t="s">
        <v>558</v>
      </c>
      <c r="B423" s="7">
        <v>46170</v>
      </c>
      <c r="D423" s="8" t="s">
        <v>559</v>
      </c>
      <c r="E423" s="9" t="s">
        <v>409</v>
      </c>
      <c r="F423" s="10">
        <v>12</v>
      </c>
      <c r="G423" s="10">
        <v>10</v>
      </c>
      <c r="H423" s="11">
        <f t="shared" si="36"/>
        <v>120</v>
      </c>
      <c r="I423" s="11" t="s">
        <v>24</v>
      </c>
      <c r="J423" s="9" t="str">
        <f>_xlfn.DISPIMG("ID_27715AA655B54EB8B42AFDA9884EBEF3",1)</f>
        <v>=DISPIMG("ID_27715AA655B54EB8B42AFDA9884EBEF3",1)</v>
      </c>
    </row>
    <row r="424" ht="118.8" spans="1:13">
      <c r="A424" s="6" t="s">
        <v>558</v>
      </c>
      <c r="B424" s="7">
        <v>46170</v>
      </c>
      <c r="D424" s="8" t="s">
        <v>559</v>
      </c>
      <c r="E424" s="9" t="s">
        <v>134</v>
      </c>
      <c r="F424" s="10">
        <v>12</v>
      </c>
      <c r="G424" s="10">
        <v>10</v>
      </c>
      <c r="H424" s="11">
        <f t="shared" si="36"/>
        <v>120</v>
      </c>
      <c r="I424" s="11" t="s">
        <v>24</v>
      </c>
      <c r="J424" s="9" t="str">
        <f>_xlfn.DISPIMG("ID_CAE8853CDE4841C086C8EE54443B6083",1)</f>
        <v>=DISPIMG("ID_CAE8853CDE4841C086C8EE54443B6083",1)</v>
      </c>
    </row>
    <row r="425" ht="49.5" spans="1:13">
      <c r="A425" s="6" t="s">
        <v>560</v>
      </c>
      <c r="B425" s="7">
        <v>46175</v>
      </c>
      <c r="D425" s="8" t="s">
        <v>561</v>
      </c>
      <c r="E425" s="9" t="s">
        <v>261</v>
      </c>
      <c r="F425" s="10">
        <v>12</v>
      </c>
      <c r="G425" s="10">
        <v>50</v>
      </c>
      <c r="H425" s="11">
        <f t="shared" si="36"/>
        <v>600</v>
      </c>
      <c r="I425" s="11" t="s">
        <v>24</v>
      </c>
      <c r="J425" s="9" t="str">
        <f t="shared" ref="J425:J427" si="38">_xlfn.DISPIMG("ID_F79E0AEE85B84290AE349E58EA96F5ED",1)</f>
        <v>=DISPIMG("ID_F79E0AEE85B84290AE349E58EA96F5ED",1)</v>
      </c>
      <c r="L425" s="8" t="s">
        <v>562</v>
      </c>
    </row>
    <row r="426" ht="49.5" spans="1:13">
      <c r="A426" s="6" t="s">
        <v>563</v>
      </c>
      <c r="D426" s="8" t="s">
        <v>564</v>
      </c>
      <c r="E426" s="9" t="s">
        <v>261</v>
      </c>
      <c r="F426" s="10">
        <v>12</v>
      </c>
      <c r="G426" s="10">
        <v>50</v>
      </c>
      <c r="H426" s="11">
        <f t="shared" si="36"/>
        <v>600</v>
      </c>
      <c r="I426" s="11" t="s">
        <v>24</v>
      </c>
      <c r="J426" s="9" t="str">
        <f t="shared" si="38"/>
        <v>=DISPIMG("ID_F79E0AEE85B84290AE349E58EA96F5ED",1)</v>
      </c>
    </row>
    <row r="427" ht="75" spans="1:13">
      <c r="A427" s="6" t="s">
        <v>565</v>
      </c>
      <c r="D427" s="8" t="s">
        <v>22</v>
      </c>
      <c r="E427" s="9" t="s">
        <v>261</v>
      </c>
      <c r="F427" s="10">
        <v>12</v>
      </c>
      <c r="G427" s="10">
        <v>150</v>
      </c>
      <c r="H427" s="11">
        <f t="shared" si="36"/>
        <v>1800</v>
      </c>
      <c r="I427" s="11" t="s">
        <v>24</v>
      </c>
      <c r="J427" s="9" t="str">
        <f t="shared" si="38"/>
        <v>=DISPIMG("ID_F79E0AEE85B84290AE349E58EA96F5ED",1)</v>
      </c>
      <c r="L427" s="8" t="s">
        <v>566</v>
      </c>
      <c r="M427" s="8" t="s">
        <v>567</v>
      </c>
    </row>
    <row r="428" ht="75" spans="1:13">
      <c r="A428" s="6" t="s">
        <v>565</v>
      </c>
      <c r="D428" s="8" t="s">
        <v>22</v>
      </c>
      <c r="E428" s="9" t="s">
        <v>89</v>
      </c>
      <c r="F428" s="10">
        <v>12</v>
      </c>
      <c r="G428" s="10">
        <v>150</v>
      </c>
      <c r="H428" s="11">
        <f t="shared" ref="H428:H433" si="39">F428*G428</f>
        <v>1800</v>
      </c>
      <c r="I428" s="11" t="s">
        <v>24</v>
      </c>
      <c r="J428" s="9" t="str">
        <f>_xlfn.DISPIMG("ID_C7743C77966D4DDF8925AB9C9EF3DFBA",1)</f>
        <v>=DISPIMG("ID_C7743C77966D4DDF8925AB9C9EF3DFBA",1)</v>
      </c>
      <c r="L428" s="8" t="s">
        <v>566</v>
      </c>
      <c r="M428" s="8" t="s">
        <v>567</v>
      </c>
    </row>
    <row r="429" ht="134.4" spans="1:13">
      <c r="A429" s="6" t="s">
        <v>565</v>
      </c>
      <c r="D429" s="8" t="s">
        <v>22</v>
      </c>
      <c r="E429" s="9" t="s">
        <v>568</v>
      </c>
      <c r="F429" s="10">
        <v>12</v>
      </c>
      <c r="G429" s="10">
        <v>150</v>
      </c>
      <c r="H429" s="11">
        <f t="shared" si="39"/>
        <v>1800</v>
      </c>
      <c r="I429" s="11" t="s">
        <v>24</v>
      </c>
      <c r="J429" s="9" t="str">
        <f>_xlfn.DISPIMG("ID_BEA6D3FBC0604C77A00E6684135F07C0",1)</f>
        <v>=DISPIMG("ID_BEA6D3FBC0604C77A00E6684135F07C0",1)</v>
      </c>
      <c r="L429" s="8" t="s">
        <v>566</v>
      </c>
      <c r="M429" s="8" t="s">
        <v>567</v>
      </c>
    </row>
    <row r="430" ht="102.5" spans="1:13">
      <c r="A430" s="6" t="s">
        <v>565</v>
      </c>
      <c r="D430" s="8" t="s">
        <v>22</v>
      </c>
      <c r="E430" s="9" t="s">
        <v>569</v>
      </c>
      <c r="F430" s="10">
        <v>12</v>
      </c>
      <c r="G430" s="10">
        <v>150</v>
      </c>
      <c r="H430" s="11">
        <f t="shared" si="39"/>
        <v>1800</v>
      </c>
      <c r="I430" s="11" t="s">
        <v>24</v>
      </c>
      <c r="J430" s="9" t="str">
        <f>_xlfn.DISPIMG("ID_F65F231025A44D098809673657870CAD",1)</f>
        <v>=DISPIMG("ID_F65F231025A44D098809673657870CAD",1)</v>
      </c>
      <c r="L430" s="8" t="s">
        <v>566</v>
      </c>
      <c r="M430" s="8" t="s">
        <v>567</v>
      </c>
    </row>
    <row r="431" ht="307.55" spans="1:13">
      <c r="A431" s="6" t="s">
        <v>570</v>
      </c>
      <c r="B431" s="7">
        <v>46175</v>
      </c>
      <c r="D431" s="8" t="s">
        <v>571</v>
      </c>
      <c r="E431" s="9" t="s">
        <v>409</v>
      </c>
      <c r="F431" s="10">
        <v>12</v>
      </c>
      <c r="G431" s="10">
        <v>16</v>
      </c>
      <c r="H431" s="11">
        <f t="shared" si="39"/>
        <v>192</v>
      </c>
      <c r="I431" s="11" t="s">
        <v>24</v>
      </c>
      <c r="J431" s="170" t="str">
        <f>_xlfn.DISPIMG("ID_EF31B37193E342A19D99C74CA0D9849A",1)</f>
        <v>=DISPIMG("ID_EF31B37193E342A19D99C74CA0D9849A",1)</v>
      </c>
      <c r="L431" s="8" t="s">
        <v>572</v>
      </c>
      <c r="M431" s="9" t="str">
        <f>_xlfn.DISPIMG("ID_9F88C6631F0E4FECA6DC6D5067BE434E",1)</f>
        <v>=DISPIMG("ID_9F88C6631F0E4FECA6DC6D5067BE434E",1)</v>
      </c>
    </row>
    <row r="432" ht="307.55" spans="1:13">
      <c r="A432" s="6" t="s">
        <v>570</v>
      </c>
      <c r="B432" s="7">
        <v>46175</v>
      </c>
      <c r="D432" s="8" t="s">
        <v>571</v>
      </c>
      <c r="E432" s="9" t="s">
        <v>221</v>
      </c>
      <c r="F432" s="10">
        <v>12</v>
      </c>
      <c r="G432" s="10">
        <v>15</v>
      </c>
      <c r="H432" s="11">
        <f t="shared" si="39"/>
        <v>180</v>
      </c>
      <c r="I432" s="11" t="s">
        <v>24</v>
      </c>
      <c r="J432" s="170" t="str">
        <f>_xlfn.DISPIMG("ID_D52FEA0F051B4A49B3F9259E880310E6",1)</f>
        <v>=DISPIMG("ID_D52FEA0F051B4A49B3F9259E880310E6",1)</v>
      </c>
      <c r="L432" s="8" t="s">
        <v>572</v>
      </c>
      <c r="M432" s="9" t="str">
        <f>_xlfn.DISPIMG("ID_9F88C6631F0E4FECA6DC6D5067BE434E",1)</f>
        <v>=DISPIMG("ID_9F88C6631F0E4FECA6DC6D5067BE434E",1)</v>
      </c>
    </row>
    <row r="433" spans="1:19">
      <c r="A433" s="6" t="s">
        <v>573</v>
      </c>
      <c r="B433" s="7">
        <v>46170</v>
      </c>
      <c r="D433" s="8" t="s">
        <v>448</v>
      </c>
      <c r="E433" s="9" t="s">
        <v>199</v>
      </c>
      <c r="F433" s="10">
        <v>12</v>
      </c>
      <c r="G433" s="10">
        <v>2</v>
      </c>
      <c r="H433" s="11">
        <f t="shared" si="39"/>
        <v>24</v>
      </c>
      <c r="I433" s="11" t="s">
        <v>24</v>
      </c>
      <c r="J433" s="171"/>
    </row>
    <row r="434" ht="67.5" spans="1:19">
      <c r="A434" s="6" t="s">
        <v>574</v>
      </c>
      <c r="B434" s="7">
        <v>46183</v>
      </c>
      <c r="D434" s="8" t="s">
        <v>575</v>
      </c>
      <c r="E434" s="9" t="s">
        <v>262</v>
      </c>
      <c r="F434" s="10">
        <v>12</v>
      </c>
      <c r="G434" s="10">
        <v>20</v>
      </c>
      <c r="H434" s="11">
        <f t="shared" ref="H434:H452" si="40">F434*G434</f>
        <v>240</v>
      </c>
      <c r="I434" s="11" t="s">
        <v>24</v>
      </c>
      <c r="J434" s="9" t="str">
        <f>_xlfn.DISPIMG("ID_24949B51BC7948F89B951CA1120D8606",1)</f>
        <v>=DISPIMG("ID_24949B51BC7948F89B951CA1120D8606",1)</v>
      </c>
      <c r="K434" s="105">
        <v>46177</v>
      </c>
      <c r="L434" s="8" t="s">
        <v>503</v>
      </c>
    </row>
    <row r="435" ht="49.5" spans="1:19">
      <c r="A435" s="6" t="s">
        <v>574</v>
      </c>
      <c r="B435" s="7">
        <v>46183</v>
      </c>
      <c r="D435" s="8" t="s">
        <v>575</v>
      </c>
      <c r="E435" s="9" t="s">
        <v>261</v>
      </c>
      <c r="F435" s="10">
        <v>12</v>
      </c>
      <c r="G435" s="10">
        <v>15</v>
      </c>
      <c r="H435" s="11">
        <f t="shared" si="40"/>
        <v>180</v>
      </c>
      <c r="I435" s="11" t="s">
        <v>24</v>
      </c>
      <c r="J435" s="9" t="str">
        <f>_xlfn.DISPIMG("ID_E8CD580907AA47B5BBDD1CE3C5AB08DE",1)</f>
        <v>=DISPIMG("ID_E8CD580907AA47B5BBDD1CE3C5AB08DE",1)</v>
      </c>
      <c r="K435" s="105">
        <v>46177</v>
      </c>
      <c r="L435" s="8" t="s">
        <v>503</v>
      </c>
    </row>
    <row r="436" ht="65.25" spans="1:19">
      <c r="A436" s="6" t="s">
        <v>576</v>
      </c>
      <c r="B436" s="7">
        <v>46180</v>
      </c>
      <c r="D436" s="8" t="s">
        <v>577</v>
      </c>
      <c r="E436" s="9" t="s">
        <v>77</v>
      </c>
      <c r="F436" s="10">
        <v>12</v>
      </c>
      <c r="G436" s="10">
        <v>40</v>
      </c>
      <c r="H436" s="11">
        <f t="shared" si="40"/>
        <v>480</v>
      </c>
      <c r="I436" s="11" t="s">
        <v>24</v>
      </c>
      <c r="J436" s="9" t="str">
        <f>_xlfn.DISPIMG("ID_5871461D32CA4C4399237B6CD04E83A0",1)</f>
        <v>=DISPIMG("ID_5871461D32CA4C4399237B6CD04E83A0",1)</v>
      </c>
      <c r="L436" s="8" t="s">
        <v>112</v>
      </c>
    </row>
    <row r="437" ht="119.55" spans="1:19">
      <c r="A437" s="6" t="s">
        <v>578</v>
      </c>
      <c r="D437" s="8" t="s">
        <v>145</v>
      </c>
      <c r="E437" s="9" t="s">
        <v>76</v>
      </c>
      <c r="F437" s="10">
        <v>12</v>
      </c>
      <c r="G437" s="10">
        <v>20</v>
      </c>
      <c r="H437" s="11">
        <f t="shared" si="40"/>
        <v>240</v>
      </c>
      <c r="I437" s="11" t="s">
        <v>24</v>
      </c>
      <c r="J437" s="9" t="str">
        <f>_xlfn.DISPIMG("ID_DCC3CE7C42A04F6DB1C9AC696B85A7D6",1)</f>
        <v>=DISPIMG("ID_DCC3CE7C42A04F6DB1C9AC696B85A7D6",1)</v>
      </c>
    </row>
    <row r="438" spans="1:19">
      <c r="A438" s="6" t="s">
        <v>579</v>
      </c>
      <c r="B438" s="7">
        <v>46172</v>
      </c>
      <c r="D438" s="8" t="s">
        <v>185</v>
      </c>
      <c r="E438" s="9" t="s">
        <v>199</v>
      </c>
      <c r="F438" s="10">
        <v>12</v>
      </c>
      <c r="G438" s="10">
        <v>50</v>
      </c>
      <c r="H438" s="11">
        <f t="shared" si="40"/>
        <v>600</v>
      </c>
      <c r="I438" s="11" t="s">
        <v>24</v>
      </c>
    </row>
    <row r="439" ht="48" spans="1:19">
      <c r="A439" s="6" t="s">
        <v>580</v>
      </c>
      <c r="B439" s="7">
        <v>46190</v>
      </c>
      <c r="D439" s="8" t="s">
        <v>581</v>
      </c>
      <c r="E439" s="9" t="s">
        <v>386</v>
      </c>
      <c r="F439" s="10">
        <v>12</v>
      </c>
      <c r="G439" s="10">
        <v>5</v>
      </c>
      <c r="H439" s="11">
        <f t="shared" si="40"/>
        <v>60</v>
      </c>
      <c r="I439" s="11" t="s">
        <v>24</v>
      </c>
      <c r="J439" s="9" t="str">
        <f>_xlfn.DISPIMG("ID_5F86625BC6AF4800A65F93160DE8EEA6",1)</f>
        <v>=DISPIMG("ID_5F86625BC6AF4800A65F93160DE8EEA6",1)</v>
      </c>
      <c r="L439" s="8" t="s">
        <v>112</v>
      </c>
    </row>
    <row r="440" ht="101.1" spans="1:19">
      <c r="A440" s="6" t="s">
        <v>582</v>
      </c>
      <c r="B440" s="7">
        <v>46196</v>
      </c>
      <c r="D440" s="8" t="s">
        <v>583</v>
      </c>
      <c r="E440" s="9" t="s">
        <v>89</v>
      </c>
      <c r="F440" s="10">
        <v>8</v>
      </c>
      <c r="G440" s="10">
        <v>75</v>
      </c>
      <c r="H440" s="11">
        <f t="shared" si="40"/>
        <v>600</v>
      </c>
      <c r="I440" s="11" t="s">
        <v>24</v>
      </c>
      <c r="J440" s="9" t="str">
        <f>_xlfn.DISPIMG("ID_6F5598B59DE347FCBB95116B3D8784E7",1)</f>
        <v>=DISPIMG("ID_6F5598B59DE347FCBB95116B3D8784E7",1)</v>
      </c>
      <c r="L440" s="8" t="s">
        <v>584</v>
      </c>
    </row>
    <row r="441" s="40" customFormat="1" ht="30" customHeight="1" spans="1:19">
      <c r="A441" s="172" t="s">
        <v>582</v>
      </c>
      <c r="B441" s="173"/>
      <c r="C441" s="173"/>
      <c r="D441" s="174" t="s">
        <v>583</v>
      </c>
      <c r="E441" s="40" t="s">
        <v>89</v>
      </c>
      <c r="F441" s="40">
        <v>8</v>
      </c>
      <c r="G441" s="40">
        <v>32</v>
      </c>
      <c r="H441" s="175">
        <f t="shared" si="40"/>
        <v>256</v>
      </c>
      <c r="I441" s="175" t="s">
        <v>24</v>
      </c>
      <c r="K441" s="176">
        <v>46216</v>
      </c>
      <c r="L441" s="174" t="s">
        <v>585</v>
      </c>
      <c r="Q441" s="174"/>
      <c r="R441" s="174"/>
      <c r="S441" s="174"/>
    </row>
    <row r="442" ht="95.2" spans="1:19">
      <c r="A442" s="6" t="s">
        <v>586</v>
      </c>
      <c r="B442" s="7">
        <v>46189</v>
      </c>
      <c r="D442" s="8" t="s">
        <v>587</v>
      </c>
      <c r="E442" s="9" t="s">
        <v>262</v>
      </c>
      <c r="F442" s="10">
        <v>12</v>
      </c>
      <c r="G442" s="10">
        <v>35</v>
      </c>
      <c r="H442" s="11">
        <f t="shared" si="40"/>
        <v>420</v>
      </c>
      <c r="I442" s="11" t="s">
        <v>24</v>
      </c>
      <c r="J442" s="9" t="str">
        <f>_xlfn.DISPIMG("ID_46971D72BFC6409D8C5ED71791ED1AD0",1)</f>
        <v>=DISPIMG("ID_46971D72BFC6409D8C5ED71791ED1AD0",1)</v>
      </c>
      <c r="L442" s="8" t="s">
        <v>588</v>
      </c>
    </row>
    <row r="443" ht="102.9" spans="1:19">
      <c r="A443" s="6" t="s">
        <v>586</v>
      </c>
      <c r="B443" s="7">
        <v>46189</v>
      </c>
      <c r="D443" s="8" t="s">
        <v>587</v>
      </c>
      <c r="E443" s="9" t="s">
        <v>261</v>
      </c>
      <c r="F443" s="10">
        <v>12</v>
      </c>
      <c r="G443" s="10">
        <v>68</v>
      </c>
      <c r="H443" s="11">
        <f t="shared" si="40"/>
        <v>816</v>
      </c>
      <c r="I443" s="11" t="s">
        <v>24</v>
      </c>
      <c r="J443" s="9" t="str">
        <f>_xlfn.DISPIMG("ID_583436A53A5548CE95253A032F8AFB8E",1)</f>
        <v>=DISPIMG("ID_583436A53A5548CE95253A032F8AFB8E",1)</v>
      </c>
      <c r="L443" s="8" t="s">
        <v>589</v>
      </c>
    </row>
    <row r="444" ht="99.1" spans="1:19">
      <c r="A444" s="6" t="s">
        <v>586</v>
      </c>
      <c r="B444" s="7">
        <v>46189</v>
      </c>
      <c r="D444" s="8" t="s">
        <v>587</v>
      </c>
      <c r="E444" s="9" t="s">
        <v>162</v>
      </c>
      <c r="F444" s="10">
        <v>12</v>
      </c>
      <c r="G444" s="10">
        <v>16</v>
      </c>
      <c r="H444" s="11">
        <f t="shared" si="40"/>
        <v>192</v>
      </c>
      <c r="I444" s="11" t="s">
        <v>24</v>
      </c>
      <c r="J444" s="9" t="str">
        <f>_xlfn.DISPIMG("ID_8B66A4378EE646A0AA7F7264AD588568",1)</f>
        <v>=DISPIMG("ID_8B66A4378EE646A0AA7F7264AD588568",1)</v>
      </c>
      <c r="L444" s="8" t="s">
        <v>590</v>
      </c>
    </row>
    <row r="445" ht="49.5" spans="1:19">
      <c r="A445" s="6" t="s">
        <v>591</v>
      </c>
      <c r="D445" s="8" t="s">
        <v>592</v>
      </c>
      <c r="E445" s="9" t="s">
        <v>261</v>
      </c>
      <c r="F445" s="10">
        <v>12</v>
      </c>
      <c r="G445" s="10">
        <v>15</v>
      </c>
      <c r="H445" s="11">
        <f t="shared" si="40"/>
        <v>180</v>
      </c>
      <c r="I445" s="11" t="s">
        <v>24</v>
      </c>
      <c r="J445" s="9" t="str">
        <f>_xlfn.DISPIMG("ID_05767761DF3C4DB2A543F52F89E9DB68",1)</f>
        <v>=DISPIMG("ID_05767761DF3C4DB2A543F52F89E9DB68",1)</v>
      </c>
      <c r="L445" s="8" t="s">
        <v>593</v>
      </c>
    </row>
    <row r="446" ht="67.5" spans="1:19">
      <c r="A446" s="6" t="s">
        <v>591</v>
      </c>
      <c r="B446" s="7" t="s">
        <v>545</v>
      </c>
      <c r="D446" s="8" t="s">
        <v>592</v>
      </c>
      <c r="E446" s="9" t="s">
        <v>262</v>
      </c>
      <c r="F446" s="10">
        <v>12</v>
      </c>
      <c r="G446" s="10">
        <v>7</v>
      </c>
      <c r="H446" s="11">
        <f t="shared" si="40"/>
        <v>84</v>
      </c>
      <c r="I446" s="11" t="s">
        <v>24</v>
      </c>
      <c r="J446" s="9" t="str">
        <f>_xlfn.DISPIMG("ID_A6EE83F79CE94168A981B00C02CDA5A1",1)</f>
        <v>=DISPIMG("ID_A6EE83F79CE94168A981B00C02CDA5A1",1)</v>
      </c>
      <c r="K446" s="9" t="s">
        <v>545</v>
      </c>
      <c r="L446" s="8" t="s">
        <v>594</v>
      </c>
    </row>
    <row r="447" ht="68.25" spans="1:19">
      <c r="A447" s="6" t="s">
        <v>595</v>
      </c>
      <c r="B447" s="7">
        <v>46196</v>
      </c>
      <c r="D447" s="8" t="s">
        <v>596</v>
      </c>
      <c r="E447" s="9" t="s">
        <v>265</v>
      </c>
      <c r="F447" s="10">
        <v>12</v>
      </c>
      <c r="G447" s="10">
        <v>10</v>
      </c>
      <c r="H447" s="11">
        <f t="shared" si="40"/>
        <v>120</v>
      </c>
      <c r="I447" s="11" t="s">
        <v>24</v>
      </c>
      <c r="J447" s="9" t="str">
        <f>_xlfn.DISPIMG("ID_A4E7A9085D2B445CAEAA994FD1892C61",1)</f>
        <v>=DISPIMG("ID_A4E7A9085D2B445CAEAA994FD1892C61",1)</v>
      </c>
      <c r="L447" s="8" t="s">
        <v>597</v>
      </c>
    </row>
    <row r="448" spans="1:19">
      <c r="A448" s="6" t="s">
        <v>598</v>
      </c>
      <c r="B448" s="7">
        <v>46175</v>
      </c>
      <c r="D448" s="8" t="s">
        <v>185</v>
      </c>
      <c r="E448" s="9" t="s">
        <v>261</v>
      </c>
      <c r="F448" s="10">
        <v>12</v>
      </c>
      <c r="G448" s="10">
        <v>25</v>
      </c>
      <c r="H448" s="11">
        <f t="shared" si="40"/>
        <v>300</v>
      </c>
      <c r="I448" s="11" t="s">
        <v>24</v>
      </c>
    </row>
    <row r="449" ht="60" spans="1:13">
      <c r="A449" s="6" t="s">
        <v>599</v>
      </c>
      <c r="D449" s="8" t="s">
        <v>600</v>
      </c>
      <c r="E449" s="9" t="s">
        <v>261</v>
      </c>
      <c r="F449" s="10">
        <v>12</v>
      </c>
      <c r="G449" s="10">
        <v>150</v>
      </c>
      <c r="H449" s="11">
        <f t="shared" si="40"/>
        <v>1800</v>
      </c>
      <c r="I449" s="11" t="s">
        <v>24</v>
      </c>
      <c r="J449" s="9" t="str">
        <f>_xlfn.DISPIMG("ID_A7894C114235414D992E2ADF6B2FAEA8",1)</f>
        <v>=DISPIMG("ID_A7894C114235414D992E2ADF6B2FAEA8",1)</v>
      </c>
      <c r="K449" s="9" t="s">
        <v>601</v>
      </c>
      <c r="L449" s="8" t="s">
        <v>602</v>
      </c>
    </row>
    <row r="450" spans="1:13">
      <c r="A450" s="6" t="s">
        <v>599</v>
      </c>
      <c r="B450" s="7">
        <v>46205</v>
      </c>
      <c r="D450" s="8" t="s">
        <v>600</v>
      </c>
      <c r="E450" s="9" t="s">
        <v>261</v>
      </c>
      <c r="F450" s="10">
        <v>12</v>
      </c>
      <c r="G450" s="10">
        <v>150</v>
      </c>
      <c r="H450" s="11">
        <f t="shared" si="40"/>
        <v>1800</v>
      </c>
      <c r="I450" s="11" t="s">
        <v>24</v>
      </c>
    </row>
    <row r="451" spans="1:13">
      <c r="A451" s="6" t="s">
        <v>599</v>
      </c>
      <c r="B451" s="7">
        <v>46209</v>
      </c>
      <c r="D451" s="8" t="s">
        <v>600</v>
      </c>
      <c r="E451" s="9" t="s">
        <v>261</v>
      </c>
      <c r="F451" s="10">
        <v>12</v>
      </c>
      <c r="G451" s="10">
        <v>100</v>
      </c>
      <c r="H451" s="11">
        <f t="shared" si="40"/>
        <v>1200</v>
      </c>
      <c r="I451" s="11" t="s">
        <v>24</v>
      </c>
    </row>
    <row r="452" spans="1:13">
      <c r="A452" s="6" t="s">
        <v>599</v>
      </c>
      <c r="B452" s="7">
        <v>46205</v>
      </c>
      <c r="D452" s="8" t="s">
        <v>600</v>
      </c>
      <c r="E452" s="9" t="s">
        <v>261</v>
      </c>
      <c r="F452" s="10">
        <v>12</v>
      </c>
      <c r="G452" s="10">
        <v>100</v>
      </c>
      <c r="H452" s="11">
        <f t="shared" si="40"/>
        <v>1200</v>
      </c>
      <c r="I452" s="11" t="s">
        <v>24</v>
      </c>
      <c r="L452" s="8" t="s">
        <v>603</v>
      </c>
    </row>
    <row r="453" ht="68.25" spans="1:13">
      <c r="A453" s="6" t="s">
        <v>604</v>
      </c>
      <c r="D453" s="8" t="s">
        <v>605</v>
      </c>
      <c r="E453" s="9" t="s">
        <v>76</v>
      </c>
      <c r="F453" s="10">
        <v>12</v>
      </c>
      <c r="G453" s="10">
        <v>15</v>
      </c>
      <c r="H453" s="11">
        <f t="shared" ref="H453:H469" si="41">F453*G453</f>
        <v>180</v>
      </c>
      <c r="I453" s="11" t="s">
        <v>24</v>
      </c>
      <c r="J453" s="9" t="str">
        <f>_xlfn.DISPIMG("ID_6430FB49AF594D0EB3C7EBC7C114655F",1)</f>
        <v>=DISPIMG("ID_6430FB49AF594D0EB3C7EBC7C114655F",1)</v>
      </c>
      <c r="K453" s="105">
        <v>46218</v>
      </c>
      <c r="L453" s="8" t="s">
        <v>597</v>
      </c>
    </row>
    <row r="454" ht="64" customHeight="1" spans="1:13">
      <c r="A454" s="6" t="s">
        <v>604</v>
      </c>
      <c r="D454" s="8" t="s">
        <v>605</v>
      </c>
      <c r="E454" s="9" t="s">
        <v>261</v>
      </c>
      <c r="F454" s="10">
        <v>12</v>
      </c>
      <c r="G454" s="10">
        <v>15</v>
      </c>
      <c r="H454" s="11">
        <f t="shared" si="41"/>
        <v>180</v>
      </c>
      <c r="I454" s="11" t="s">
        <v>24</v>
      </c>
      <c r="J454" s="9" t="str">
        <f t="shared" ref="J453:J458" si="42">_xlfn.DISPIMG("ID_A7894C114235414D992E2ADF6B2FAEA8",1)</f>
        <v>=DISPIMG("ID_A7894C114235414D992E2ADF6B2FAEA8",1)</v>
      </c>
      <c r="K454" s="105">
        <v>46218</v>
      </c>
      <c r="L454" s="8" t="s">
        <v>597</v>
      </c>
    </row>
    <row r="455" ht="68.25" spans="1:13">
      <c r="A455" s="6" t="s">
        <v>606</v>
      </c>
      <c r="B455" s="7">
        <v>46211</v>
      </c>
      <c r="D455" s="8" t="s">
        <v>607</v>
      </c>
      <c r="E455" s="9" t="s">
        <v>510</v>
      </c>
      <c r="F455" s="10">
        <v>12</v>
      </c>
      <c r="G455" s="10">
        <v>15</v>
      </c>
      <c r="H455" s="11">
        <f t="shared" si="41"/>
        <v>180</v>
      </c>
      <c r="I455" s="11" t="s">
        <v>24</v>
      </c>
      <c r="J455" s="9" t="str">
        <f>_xlfn.DISPIMG("ID_4BEF828AA0C245D3AE5AB475EBDF8D30",1)</f>
        <v>=DISPIMG("ID_4BEF828AA0C245D3AE5AB475EBDF8D30",1)</v>
      </c>
      <c r="K455" s="9" t="s">
        <v>608</v>
      </c>
      <c r="L455" s="8" t="s">
        <v>158</v>
      </c>
    </row>
    <row r="456" ht="67.5" spans="1:13">
      <c r="A456" s="6" t="s">
        <v>609</v>
      </c>
      <c r="B456" s="7">
        <v>46204</v>
      </c>
      <c r="D456" s="8" t="s">
        <v>610</v>
      </c>
      <c r="E456" s="9" t="s">
        <v>262</v>
      </c>
      <c r="F456" s="10">
        <v>12</v>
      </c>
      <c r="G456" s="10">
        <v>15</v>
      </c>
      <c r="H456" s="11">
        <f t="shared" si="41"/>
        <v>180</v>
      </c>
      <c r="I456" s="11" t="s">
        <v>24</v>
      </c>
      <c r="J456" s="9" t="str">
        <f>_xlfn.DISPIMG("ID_A6EE83F79CE94168A981B00C02CDA5A1",1)</f>
        <v>=DISPIMG("ID_A6EE83F79CE94168A981B00C02CDA5A1",1)</v>
      </c>
      <c r="K456" s="105">
        <v>46181</v>
      </c>
    </row>
    <row r="457" ht="49.5" spans="1:13">
      <c r="A457" s="6" t="s">
        <v>609</v>
      </c>
      <c r="B457" s="7">
        <v>46204</v>
      </c>
      <c r="D457" s="8" t="s">
        <v>610</v>
      </c>
      <c r="E457" s="9" t="s">
        <v>261</v>
      </c>
      <c r="F457" s="10">
        <v>12</v>
      </c>
      <c r="G457" s="10">
        <v>30</v>
      </c>
      <c r="H457" s="11">
        <f t="shared" si="41"/>
        <v>360</v>
      </c>
      <c r="I457" s="11" t="s">
        <v>24</v>
      </c>
      <c r="J457" s="9" t="str">
        <f t="shared" si="42"/>
        <v>=DISPIMG("ID_A7894C114235414D992E2ADF6B2FAEA8",1)</v>
      </c>
      <c r="K457" s="105">
        <v>46181</v>
      </c>
    </row>
    <row r="458" ht="67.5" spans="1:13">
      <c r="A458" s="6" t="s">
        <v>611</v>
      </c>
      <c r="B458" s="7">
        <v>46191</v>
      </c>
      <c r="D458" s="8" t="s">
        <v>612</v>
      </c>
      <c r="E458" s="9" t="s">
        <v>262</v>
      </c>
      <c r="F458" s="10">
        <v>12</v>
      </c>
      <c r="G458" s="10">
        <v>5</v>
      </c>
      <c r="H458" s="11">
        <f t="shared" si="41"/>
        <v>60</v>
      </c>
      <c r="I458" s="11" t="s">
        <v>24</v>
      </c>
      <c r="J458" s="9" t="str">
        <f>_xlfn.DISPIMG("ID_A6EE83F79CE94168A981B00C02CDA5A1",1)</f>
        <v>=DISPIMG("ID_A6EE83F79CE94168A981B00C02CDA5A1",1)</v>
      </c>
      <c r="K458" s="9" t="s">
        <v>613</v>
      </c>
      <c r="L458" s="8" t="s">
        <v>158</v>
      </c>
    </row>
    <row r="459" ht="49.5" spans="1:13">
      <c r="A459" s="6" t="s">
        <v>611</v>
      </c>
      <c r="B459" s="7">
        <v>46191</v>
      </c>
      <c r="D459" s="8" t="s">
        <v>612</v>
      </c>
      <c r="E459" s="9" t="s">
        <v>261</v>
      </c>
      <c r="F459" s="10">
        <v>12</v>
      </c>
      <c r="G459" s="10">
        <v>5</v>
      </c>
      <c r="H459" s="11">
        <f t="shared" si="41"/>
        <v>60</v>
      </c>
      <c r="I459" s="11" t="s">
        <v>24</v>
      </c>
      <c r="J459" s="9" t="str">
        <f t="shared" ref="J459:J464" si="43">_xlfn.DISPIMG("ID_A7894C114235414D992E2ADF6B2FAEA8",1)</f>
        <v>=DISPIMG("ID_A7894C114235414D992E2ADF6B2FAEA8",1)</v>
      </c>
      <c r="K459" s="9" t="s">
        <v>613</v>
      </c>
      <c r="L459" s="8" t="s">
        <v>158</v>
      </c>
    </row>
    <row r="460" ht="117.4" spans="1:13">
      <c r="A460" s="6" t="s">
        <v>611</v>
      </c>
      <c r="B460" s="7">
        <v>46191</v>
      </c>
      <c r="D460" s="8" t="s">
        <v>612</v>
      </c>
      <c r="E460" s="9" t="s">
        <v>74</v>
      </c>
      <c r="F460" s="10">
        <v>12</v>
      </c>
      <c r="G460" s="10">
        <v>5</v>
      </c>
      <c r="H460" s="11">
        <f t="shared" si="41"/>
        <v>60</v>
      </c>
      <c r="I460" s="11" t="s">
        <v>24</v>
      </c>
      <c r="J460" s="9" t="str">
        <f>_xlfn.DISPIMG("ID_068918AD87D34CA8BEB29DDF3F8F0130",1)</f>
        <v>=DISPIMG("ID_068918AD87D34CA8BEB29DDF3F8F0130",1)</v>
      </c>
      <c r="K460" s="9" t="s">
        <v>613</v>
      </c>
      <c r="L460" s="8" t="s">
        <v>158</v>
      </c>
    </row>
    <row r="461" ht="68.25" spans="1:13">
      <c r="A461" s="6" t="s">
        <v>611</v>
      </c>
      <c r="B461" s="7">
        <v>46191</v>
      </c>
      <c r="D461" s="8" t="s">
        <v>612</v>
      </c>
      <c r="E461" s="9" t="s">
        <v>76</v>
      </c>
      <c r="F461" s="10">
        <v>12</v>
      </c>
      <c r="G461" s="10">
        <v>5</v>
      </c>
      <c r="H461" s="11">
        <f t="shared" si="41"/>
        <v>60</v>
      </c>
      <c r="I461" s="11" t="s">
        <v>24</v>
      </c>
      <c r="J461" s="9" t="str">
        <f>_xlfn.DISPIMG("ID_CE5CA05960CB4B3D8D4A4767C60693A1",1)</f>
        <v>=DISPIMG("ID_CE5CA05960CB4B3D8D4A4767C60693A1",1)</v>
      </c>
      <c r="K461" s="9" t="s">
        <v>613</v>
      </c>
      <c r="L461" s="8" t="s">
        <v>158</v>
      </c>
    </row>
    <row r="462" ht="154.9" spans="1:13">
      <c r="A462" s="6" t="s">
        <v>614</v>
      </c>
      <c r="B462" s="7">
        <v>46183</v>
      </c>
      <c r="D462" s="8" t="s">
        <v>483</v>
      </c>
      <c r="E462" s="9" t="s">
        <v>261</v>
      </c>
      <c r="F462" s="10">
        <v>12</v>
      </c>
      <c r="G462" s="10">
        <v>10</v>
      </c>
      <c r="H462" s="11">
        <f t="shared" si="41"/>
        <v>120</v>
      </c>
      <c r="I462" s="11" t="s">
        <v>24</v>
      </c>
      <c r="J462" s="9" t="str">
        <f t="shared" si="43"/>
        <v>=DISPIMG("ID_A7894C114235414D992E2ADF6B2FAEA8",1)</v>
      </c>
      <c r="K462" s="105">
        <v>46185</v>
      </c>
      <c r="M462" s="9" t="str">
        <f>_xlfn.DISPIMG("ID_6594FCDE6A2344EB818C7AD26F22F05A",1)</f>
        <v>=DISPIMG("ID_6594FCDE6A2344EB818C7AD26F22F05A",1)</v>
      </c>
    </row>
    <row r="463" ht="49.5" spans="1:13">
      <c r="A463" s="6" t="s">
        <v>615</v>
      </c>
      <c r="B463" s="7" t="s">
        <v>545</v>
      </c>
      <c r="D463" s="8" t="s">
        <v>480</v>
      </c>
      <c r="E463" s="9" t="s">
        <v>262</v>
      </c>
      <c r="F463" s="10">
        <v>12</v>
      </c>
      <c r="G463" s="10">
        <v>15</v>
      </c>
      <c r="H463" s="11">
        <f t="shared" si="41"/>
        <v>180</v>
      </c>
      <c r="I463" s="11" t="s">
        <v>24</v>
      </c>
      <c r="J463" s="9" t="str">
        <f t="shared" si="43"/>
        <v>=DISPIMG("ID_A7894C114235414D992E2ADF6B2FAEA8",1)</v>
      </c>
      <c r="K463" s="105">
        <v>46183</v>
      </c>
      <c r="L463" s="8" t="s">
        <v>616</v>
      </c>
    </row>
    <row r="464" ht="49.5" spans="1:13">
      <c r="A464" s="6" t="s">
        <v>615</v>
      </c>
      <c r="B464" s="7" t="s">
        <v>545</v>
      </c>
      <c r="D464" s="8" t="s">
        <v>480</v>
      </c>
      <c r="E464" s="9" t="s">
        <v>617</v>
      </c>
      <c r="F464" s="10">
        <v>12</v>
      </c>
      <c r="G464" s="10">
        <v>15</v>
      </c>
      <c r="H464" s="11">
        <f t="shared" si="41"/>
        <v>180</v>
      </c>
      <c r="I464" s="11" t="s">
        <v>24</v>
      </c>
      <c r="J464" s="9" t="str">
        <f t="shared" si="43"/>
        <v>=DISPIMG("ID_A7894C114235414D992E2ADF6B2FAEA8",1)</v>
      </c>
      <c r="K464" s="105">
        <v>46183</v>
      </c>
      <c r="L464" s="8" t="s">
        <v>618</v>
      </c>
    </row>
    <row r="465" ht="68.25" spans="1:19">
      <c r="A465" s="6" t="s">
        <v>619</v>
      </c>
      <c r="B465" s="7">
        <v>46204</v>
      </c>
      <c r="D465" s="8" t="s">
        <v>620</v>
      </c>
      <c r="E465" s="9" t="s">
        <v>248</v>
      </c>
      <c r="F465" s="10">
        <v>12</v>
      </c>
      <c r="G465" s="10">
        <v>10</v>
      </c>
      <c r="H465" s="11">
        <f t="shared" si="41"/>
        <v>120</v>
      </c>
      <c r="I465" s="11" t="s">
        <v>24</v>
      </c>
      <c r="J465" s="170" t="str">
        <f>_xlfn.DISPIMG("ID_2EE04CA633F54A21B71885B4E9B7974E",1)</f>
        <v>=DISPIMG("ID_2EE04CA633F54A21B71885B4E9B7974E",1)</v>
      </c>
      <c r="K465" s="9" t="s">
        <v>621</v>
      </c>
      <c r="L465" s="8" t="s">
        <v>622</v>
      </c>
    </row>
    <row r="466" ht="87.6" spans="1:19">
      <c r="A466" s="6" t="s">
        <v>623</v>
      </c>
      <c r="B466" s="7">
        <v>46180</v>
      </c>
      <c r="D466" s="8" t="s">
        <v>106</v>
      </c>
      <c r="E466" s="9" t="s">
        <v>261</v>
      </c>
      <c r="F466" s="10">
        <v>12</v>
      </c>
      <c r="G466" s="10">
        <v>5</v>
      </c>
      <c r="H466" s="11">
        <f t="shared" ref="H466:H473" si="44">F466*G466</f>
        <v>60</v>
      </c>
      <c r="I466" s="11" t="s">
        <v>24</v>
      </c>
      <c r="J466" s="9" t="str">
        <f>_xlfn.DISPIMG("ID_A7894C114235414D992E2ADF6B2FAEA8",1)</f>
        <v>=DISPIMG("ID_A7894C114235414D992E2ADF6B2FAEA8",1)</v>
      </c>
    </row>
    <row r="467" ht="130.8" spans="1:19">
      <c r="A467" s="6" t="s">
        <v>623</v>
      </c>
      <c r="B467" s="7">
        <v>46180</v>
      </c>
      <c r="D467" s="8" t="s">
        <v>106</v>
      </c>
      <c r="E467" s="9" t="s">
        <v>76</v>
      </c>
      <c r="F467" s="10">
        <v>12</v>
      </c>
      <c r="G467" s="10">
        <v>3</v>
      </c>
      <c r="H467" s="11">
        <f t="shared" si="44"/>
        <v>36</v>
      </c>
      <c r="I467" s="11" t="s">
        <v>24</v>
      </c>
      <c r="J467" s="9" t="str">
        <f>_xlfn.DISPIMG("ID_CE5CA05960CB4B3D8D4A4767C60693A1",1)</f>
        <v>=DISPIMG("ID_CE5CA05960CB4B3D8D4A4767C60693A1",1)</v>
      </c>
    </row>
    <row r="468" ht="64.5" spans="1:19">
      <c r="A468" s="6" t="s">
        <v>623</v>
      </c>
      <c r="B468" s="7">
        <v>46180</v>
      </c>
      <c r="D468" s="8" t="s">
        <v>106</v>
      </c>
      <c r="E468" s="9" t="s">
        <v>77</v>
      </c>
      <c r="F468" s="10">
        <v>12</v>
      </c>
      <c r="G468" s="10">
        <v>2</v>
      </c>
      <c r="H468" s="11">
        <f t="shared" si="44"/>
        <v>24</v>
      </c>
      <c r="I468" s="11" t="s">
        <v>24</v>
      </c>
      <c r="J468" s="9" t="str">
        <f>_xlfn.DISPIMG("ID_5871461D32CA4C4399237B6CD04E83A0",1)</f>
        <v>=DISPIMG("ID_5871461D32CA4C4399237B6CD04E83A0",1)</v>
      </c>
    </row>
    <row r="469" ht="49.5" spans="1:19">
      <c r="A469" s="6" t="s">
        <v>624</v>
      </c>
      <c r="B469" s="7">
        <v>46196</v>
      </c>
      <c r="D469" s="8" t="s">
        <v>625</v>
      </c>
      <c r="E469" s="9" t="s">
        <v>261</v>
      </c>
      <c r="F469" s="10">
        <v>12</v>
      </c>
      <c r="G469" s="10">
        <v>42</v>
      </c>
      <c r="H469" s="11">
        <f t="shared" si="44"/>
        <v>504</v>
      </c>
      <c r="I469" s="11" t="s">
        <v>24</v>
      </c>
      <c r="J469" s="9" t="str">
        <f>_xlfn.DISPIMG("ID_A7894C114235414D992E2ADF6B2FAEA8",1)</f>
        <v>=DISPIMG("ID_A7894C114235414D992E2ADF6B2FAEA8",1)</v>
      </c>
    </row>
    <row r="470" s="40" customFormat="1" ht="63" spans="1:19">
      <c r="A470" s="172" t="s">
        <v>626</v>
      </c>
      <c r="B470" s="173"/>
      <c r="C470" s="173"/>
      <c r="D470" s="174" t="s">
        <v>627</v>
      </c>
      <c r="E470" s="40" t="s">
        <v>409</v>
      </c>
      <c r="F470" s="40">
        <v>12</v>
      </c>
      <c r="G470" s="40">
        <v>430</v>
      </c>
      <c r="H470" s="175">
        <f t="shared" si="44"/>
        <v>5160</v>
      </c>
      <c r="I470" s="175" t="s">
        <v>24</v>
      </c>
      <c r="J470" s="40" t="str">
        <f>_xlfn.DISPIMG("ID_16CD1C5A5DF84792B03355A100812F5C",1)</f>
        <v>=DISPIMG("ID_16CD1C5A5DF84792B03355A100812F5C",1)</v>
      </c>
      <c r="K470" s="176">
        <v>46216</v>
      </c>
      <c r="L470" s="174" t="s">
        <v>628</v>
      </c>
      <c r="Q470" s="174"/>
      <c r="R470" s="174"/>
      <c r="S470" s="174"/>
    </row>
    <row r="471" spans="1:19">
      <c r="A471" s="6" t="s">
        <v>626</v>
      </c>
      <c r="B471" s="7">
        <v>46205</v>
      </c>
      <c r="D471" s="8" t="s">
        <v>627</v>
      </c>
      <c r="E471" s="9" t="s">
        <v>409</v>
      </c>
      <c r="F471" s="10">
        <v>12</v>
      </c>
      <c r="G471" s="10">
        <v>50</v>
      </c>
      <c r="H471" s="11">
        <f t="shared" si="44"/>
        <v>600</v>
      </c>
      <c r="I471" s="11" t="s">
        <v>24</v>
      </c>
    </row>
    <row r="472" spans="1:19">
      <c r="A472" s="6" t="s">
        <v>626</v>
      </c>
      <c r="B472" s="7">
        <v>46209</v>
      </c>
      <c r="D472" s="8" t="s">
        <v>627</v>
      </c>
      <c r="E472" s="9" t="s">
        <v>409</v>
      </c>
      <c r="F472" s="10">
        <v>12</v>
      </c>
      <c r="G472" s="10">
        <v>120</v>
      </c>
      <c r="H472" s="11">
        <f t="shared" si="44"/>
        <v>1440</v>
      </c>
      <c r="I472" s="11" t="s">
        <v>24</v>
      </c>
    </row>
    <row r="473" spans="1:19">
      <c r="A473" s="6" t="s">
        <v>626</v>
      </c>
      <c r="B473" s="7">
        <v>46205</v>
      </c>
      <c r="D473" s="8" t="s">
        <v>627</v>
      </c>
      <c r="E473" s="9" t="s">
        <v>409</v>
      </c>
      <c r="F473" s="10">
        <v>12</v>
      </c>
      <c r="G473" s="10">
        <v>100</v>
      </c>
      <c r="H473" s="11">
        <f t="shared" si="44"/>
        <v>1200</v>
      </c>
      <c r="I473" s="11" t="s">
        <v>24</v>
      </c>
    </row>
    <row r="474" spans="1:19">
      <c r="A474" s="6" t="s">
        <v>629</v>
      </c>
      <c r="B474" s="7">
        <v>46179</v>
      </c>
      <c r="D474" s="8" t="s">
        <v>630</v>
      </c>
      <c r="E474" s="9" t="s">
        <v>265</v>
      </c>
      <c r="F474" s="10">
        <v>12</v>
      </c>
      <c r="G474" s="10">
        <v>5</v>
      </c>
      <c r="H474" s="11">
        <f t="shared" ref="H474:H482" si="45">F474*G474</f>
        <v>60</v>
      </c>
      <c r="I474" s="11" t="s">
        <v>24</v>
      </c>
    </row>
    <row r="475" spans="1:19">
      <c r="A475" s="6" t="s">
        <v>629</v>
      </c>
      <c r="B475" s="7">
        <v>46179</v>
      </c>
      <c r="D475" s="8" t="s">
        <v>630</v>
      </c>
      <c r="E475" s="9" t="s">
        <v>510</v>
      </c>
      <c r="F475" s="10">
        <v>12</v>
      </c>
      <c r="G475" s="10">
        <v>5</v>
      </c>
      <c r="H475" s="11">
        <f t="shared" si="45"/>
        <v>60</v>
      </c>
      <c r="I475" s="11" t="s">
        <v>24</v>
      </c>
    </row>
    <row r="476" spans="1:19">
      <c r="A476" s="6" t="s">
        <v>629</v>
      </c>
      <c r="B476" s="7">
        <v>46179</v>
      </c>
      <c r="D476" s="8" t="s">
        <v>630</v>
      </c>
      <c r="E476" s="9" t="s">
        <v>511</v>
      </c>
      <c r="F476" s="10">
        <v>12</v>
      </c>
      <c r="G476" s="10">
        <v>5</v>
      </c>
      <c r="H476" s="11">
        <f t="shared" si="45"/>
        <v>60</v>
      </c>
      <c r="I476" s="11" t="s">
        <v>24</v>
      </c>
    </row>
    <row r="477" spans="1:19">
      <c r="A477" s="6" t="s">
        <v>631</v>
      </c>
      <c r="B477" s="7">
        <v>46179</v>
      </c>
      <c r="D477" s="8" t="s">
        <v>632</v>
      </c>
      <c r="E477" s="9" t="s">
        <v>261</v>
      </c>
      <c r="F477" s="10">
        <v>12</v>
      </c>
      <c r="G477" s="10">
        <v>15</v>
      </c>
      <c r="H477" s="11">
        <f t="shared" si="45"/>
        <v>180</v>
      </c>
      <c r="I477" s="11" t="s">
        <v>24</v>
      </c>
    </row>
    <row r="478" spans="1:19">
      <c r="A478" s="6" t="s">
        <v>633</v>
      </c>
      <c r="B478" s="7">
        <v>46179</v>
      </c>
      <c r="D478" s="8" t="s">
        <v>185</v>
      </c>
      <c r="E478" s="9" t="s">
        <v>261</v>
      </c>
      <c r="F478" s="10">
        <v>12</v>
      </c>
      <c r="G478" s="10">
        <v>175</v>
      </c>
      <c r="H478" s="11">
        <f t="shared" si="45"/>
        <v>2100</v>
      </c>
      <c r="I478" s="11" t="s">
        <v>24</v>
      </c>
    </row>
    <row r="479" ht="130.5" spans="1:19">
      <c r="A479" s="6" t="s">
        <v>634</v>
      </c>
      <c r="B479" s="7">
        <v>46202</v>
      </c>
      <c r="D479" s="8" t="s">
        <v>26</v>
      </c>
      <c r="E479" s="9" t="s">
        <v>89</v>
      </c>
      <c r="F479" s="10">
        <v>12</v>
      </c>
      <c r="G479" s="10">
        <v>10</v>
      </c>
      <c r="H479" s="11">
        <f t="shared" si="45"/>
        <v>120</v>
      </c>
      <c r="I479" s="11" t="s">
        <v>24</v>
      </c>
      <c r="J479" s="9" t="str">
        <f>_xlfn.DISPIMG("ID_8A4A297C9BEA4382B7AFEBCE68FEF54E",1)</f>
        <v>=DISPIMG("ID_8A4A297C9BEA4382B7AFEBCE68FEF54E",1)</v>
      </c>
      <c r="L479" s="8" t="s">
        <v>635</v>
      </c>
    </row>
    <row r="480" ht="66" spans="1:19">
      <c r="A480" s="6" t="s">
        <v>636</v>
      </c>
      <c r="B480" s="7" t="s">
        <v>545</v>
      </c>
      <c r="D480" s="8" t="s">
        <v>515</v>
      </c>
      <c r="E480" s="9" t="s">
        <v>74</v>
      </c>
      <c r="F480" s="10">
        <v>12</v>
      </c>
      <c r="G480" s="10">
        <v>10</v>
      </c>
      <c r="H480" s="11">
        <f t="shared" si="45"/>
        <v>120</v>
      </c>
      <c r="I480" s="11" t="s">
        <v>24</v>
      </c>
      <c r="J480" s="9" t="str">
        <f>_xlfn.DISPIMG("ID_068918AD87D34CA8BEB29DDF3F8F0130",1)</f>
        <v>=DISPIMG("ID_068918AD87D34CA8BEB29DDF3F8F0130",1)</v>
      </c>
      <c r="L480" s="8" t="s">
        <v>637</v>
      </c>
    </row>
    <row r="481" ht="49.5" spans="1:13">
      <c r="A481" s="6" t="s">
        <v>638</v>
      </c>
      <c r="B481" s="7">
        <v>46196</v>
      </c>
      <c r="D481" s="8" t="s">
        <v>639</v>
      </c>
      <c r="E481" s="9" t="s">
        <v>261</v>
      </c>
      <c r="F481" s="10">
        <v>12</v>
      </c>
      <c r="G481" s="10">
        <v>20</v>
      </c>
      <c r="H481" s="11">
        <f t="shared" si="45"/>
        <v>240</v>
      </c>
      <c r="I481" s="11" t="s">
        <v>24</v>
      </c>
      <c r="J481" s="9" t="str">
        <f>_xlfn.DISPIMG("ID_A7894C114235414D992E2ADF6B2FAEA8",1)</f>
        <v>=DISPIMG("ID_A7894C114235414D992E2ADF6B2FAEA8",1)</v>
      </c>
      <c r="L481" s="8" t="s">
        <v>640</v>
      </c>
    </row>
    <row r="482" ht="67.5" spans="1:13">
      <c r="A482" s="6" t="s">
        <v>638</v>
      </c>
      <c r="B482" s="7">
        <v>46196</v>
      </c>
      <c r="D482" s="8" t="s">
        <v>639</v>
      </c>
      <c r="E482" s="9" t="s">
        <v>262</v>
      </c>
      <c r="F482" s="10">
        <v>12</v>
      </c>
      <c r="G482" s="10">
        <v>10</v>
      </c>
      <c r="H482" s="11">
        <f t="shared" si="45"/>
        <v>120</v>
      </c>
      <c r="I482" s="11" t="s">
        <v>24</v>
      </c>
      <c r="J482" s="9" t="str">
        <f>_xlfn.DISPIMG("ID_D77FDF2E7EE54E5AB2DE786A4B930313",1)</f>
        <v>=DISPIMG("ID_D77FDF2E7EE54E5AB2DE786A4B930313",1)</v>
      </c>
      <c r="L482" s="8" t="s">
        <v>640</v>
      </c>
    </row>
    <row r="483" ht="300.25" spans="1:13">
      <c r="A483" s="6" t="s">
        <v>641</v>
      </c>
      <c r="B483" s="7">
        <v>46190</v>
      </c>
      <c r="D483" s="8" t="s">
        <v>471</v>
      </c>
      <c r="E483" s="9" t="s">
        <v>642</v>
      </c>
      <c r="F483" s="10">
        <v>12</v>
      </c>
      <c r="G483" s="10">
        <v>15</v>
      </c>
      <c r="H483" s="11">
        <f t="shared" ref="H483:H490" si="46">F483*G483</f>
        <v>180</v>
      </c>
      <c r="I483" s="11" t="s">
        <v>24</v>
      </c>
      <c r="J483" s="170" t="str">
        <f>_xlfn.DISPIMG("ID_2EE04CA633F54A21B71885B4E9B7974E",1)</f>
        <v>=DISPIMG("ID_2EE04CA633F54A21B71885B4E9B7974E",1)</v>
      </c>
      <c r="M483" s="9" t="str">
        <f>_xlfn.DISPIMG("ID_DE2FC3B557884B29BC64C432097D8181",1)</f>
        <v>=DISPIMG("ID_DE2FC3B557884B29BC64C432097D8181",1)</v>
      </c>
    </row>
    <row r="484" ht="123.5" spans="1:13">
      <c r="A484" s="6" t="s">
        <v>643</v>
      </c>
      <c r="B484" s="7">
        <v>46183</v>
      </c>
      <c r="D484" s="8" t="s">
        <v>145</v>
      </c>
      <c r="E484" s="9" t="s">
        <v>265</v>
      </c>
      <c r="F484" s="10">
        <v>12</v>
      </c>
      <c r="G484" s="10">
        <v>20</v>
      </c>
      <c r="H484" s="11">
        <f t="shared" si="46"/>
        <v>240</v>
      </c>
      <c r="I484" s="11" t="s">
        <v>24</v>
      </c>
      <c r="J484" s="9" t="str">
        <f>_xlfn.DISPIMG("ID_6215F7606C724876AC76177AFA635B57",1)</f>
        <v>=DISPIMG("ID_6215F7606C724876AC76177AFA635B57",1)</v>
      </c>
      <c r="L484" s="8" t="s">
        <v>644</v>
      </c>
    </row>
    <row r="485" ht="99.75" spans="1:13">
      <c r="A485" s="6" t="s">
        <v>645</v>
      </c>
      <c r="D485" s="8" t="s">
        <v>646</v>
      </c>
      <c r="E485" s="9" t="s">
        <v>262</v>
      </c>
      <c r="F485" s="10">
        <v>12</v>
      </c>
      <c r="G485" s="10">
        <v>50</v>
      </c>
      <c r="H485" s="11">
        <f t="shared" si="46"/>
        <v>600</v>
      </c>
      <c r="I485" s="11" t="s">
        <v>24</v>
      </c>
      <c r="J485" s="9" t="str">
        <f>_xlfn.DISPIMG("ID_A027562D8D8642ACB033C9E2BC8B1C05",1)</f>
        <v>=DISPIMG("ID_A027562D8D8642ACB033C9E2BC8B1C05",1)</v>
      </c>
      <c r="L485" s="8" t="s">
        <v>647</v>
      </c>
    </row>
    <row r="486" ht="49.5" spans="1:13">
      <c r="A486" s="6" t="s">
        <v>645</v>
      </c>
      <c r="D486" s="8" t="s">
        <v>646</v>
      </c>
      <c r="E486" s="9" t="s">
        <v>261</v>
      </c>
      <c r="F486" s="10">
        <v>12</v>
      </c>
      <c r="G486" s="10">
        <v>50</v>
      </c>
      <c r="H486" s="11">
        <f t="shared" si="46"/>
        <v>600</v>
      </c>
      <c r="I486" s="11" t="s">
        <v>24</v>
      </c>
      <c r="J486" s="9" t="str">
        <f>_xlfn.DISPIMG("ID_A7894C114235414D992E2ADF6B2FAEA8",1)</f>
        <v>=DISPIMG("ID_A7894C114235414D992E2ADF6B2FAEA8",1)</v>
      </c>
      <c r="L486" s="8" t="s">
        <v>647</v>
      </c>
    </row>
    <row r="487" ht="101.25" spans="1:13">
      <c r="A487" s="6" t="s">
        <v>645</v>
      </c>
      <c r="D487" s="8" t="s">
        <v>646</v>
      </c>
      <c r="E487" s="9" t="s">
        <v>265</v>
      </c>
      <c r="F487" s="10">
        <v>12</v>
      </c>
      <c r="G487" s="10">
        <v>50</v>
      </c>
      <c r="H487" s="11">
        <f t="shared" si="46"/>
        <v>600</v>
      </c>
      <c r="I487" s="11" t="s">
        <v>24</v>
      </c>
      <c r="J487" s="9" t="str">
        <f>_xlfn.DISPIMG("ID_CDB7B77B35094BE183888F48DB4A9A8C",1)</f>
        <v>=DISPIMG("ID_CDB7B77B35094BE183888F48DB4A9A8C",1)</v>
      </c>
      <c r="L487" s="8" t="s">
        <v>647</v>
      </c>
    </row>
    <row r="488" spans="1:13">
      <c r="A488" s="6" t="s">
        <v>648</v>
      </c>
      <c r="B488" s="7">
        <v>46185</v>
      </c>
      <c r="D488" s="8" t="s">
        <v>185</v>
      </c>
      <c r="E488" s="9" t="s">
        <v>642</v>
      </c>
      <c r="F488" s="10">
        <v>12</v>
      </c>
      <c r="G488" s="10">
        <v>10</v>
      </c>
      <c r="H488" s="11">
        <f t="shared" si="46"/>
        <v>120</v>
      </c>
      <c r="I488" s="11" t="s">
        <v>24</v>
      </c>
      <c r="K488" s="105"/>
    </row>
    <row r="489" spans="1:13">
      <c r="A489" s="6" t="s">
        <v>649</v>
      </c>
      <c r="B489" s="7">
        <v>46185</v>
      </c>
      <c r="D489" s="8" t="s">
        <v>170</v>
      </c>
      <c r="E489" s="9" t="s">
        <v>77</v>
      </c>
      <c r="F489" s="10">
        <v>12</v>
      </c>
      <c r="G489" s="10">
        <v>40</v>
      </c>
      <c r="H489" s="11">
        <f t="shared" si="46"/>
        <v>480</v>
      </c>
      <c r="I489" s="11" t="s">
        <v>24</v>
      </c>
      <c r="K489" s="105"/>
    </row>
    <row r="490" spans="1:13">
      <c r="A490" s="6" t="s">
        <v>650</v>
      </c>
      <c r="B490" s="7">
        <v>46185</v>
      </c>
      <c r="D490" s="8" t="s">
        <v>651</v>
      </c>
      <c r="E490" s="9" t="s">
        <v>652</v>
      </c>
      <c r="F490" s="10">
        <v>12</v>
      </c>
      <c r="G490" s="10">
        <v>49</v>
      </c>
      <c r="H490" s="11">
        <f t="shared" si="46"/>
        <v>588</v>
      </c>
      <c r="I490" s="11" t="s">
        <v>24</v>
      </c>
      <c r="K490" s="105"/>
    </row>
    <row r="491" ht="101.25" spans="1:13">
      <c r="A491" s="6" t="s">
        <v>653</v>
      </c>
      <c r="B491" s="7">
        <v>46204</v>
      </c>
      <c r="D491" s="8" t="s">
        <v>654</v>
      </c>
      <c r="E491" s="9" t="s">
        <v>265</v>
      </c>
      <c r="F491" s="10">
        <v>12</v>
      </c>
      <c r="G491" s="10">
        <v>15</v>
      </c>
      <c r="H491" s="11">
        <f t="shared" ref="H491:H494" si="47">F491*G491</f>
        <v>180</v>
      </c>
      <c r="I491" s="11" t="s">
        <v>24</v>
      </c>
      <c r="J491" s="9" t="str">
        <f>_xlfn.DISPIMG("ID_CDB7B77B35094BE183888F48DB4A9A8C",1)</f>
        <v>=DISPIMG("ID_CDB7B77B35094BE183888F48DB4A9A8C",1)</v>
      </c>
      <c r="K491" s="105" t="s">
        <v>655</v>
      </c>
      <c r="L491" s="8" t="s">
        <v>656</v>
      </c>
    </row>
    <row r="492" ht="60" spans="1:13">
      <c r="A492" s="6" t="s">
        <v>653</v>
      </c>
      <c r="B492" s="7">
        <v>46204</v>
      </c>
      <c r="D492" s="8" t="s">
        <v>654</v>
      </c>
      <c r="E492" s="9" t="s">
        <v>261</v>
      </c>
      <c r="F492" s="10">
        <v>12</v>
      </c>
      <c r="G492" s="10">
        <v>10</v>
      </c>
      <c r="H492" s="11">
        <f t="shared" si="47"/>
        <v>120</v>
      </c>
      <c r="I492" s="11" t="s">
        <v>24</v>
      </c>
      <c r="J492" s="9" t="str">
        <f>_xlfn.DISPIMG("ID_A7894C114235414D992E2ADF6B2FAEA8",1)</f>
        <v>=DISPIMG("ID_A7894C114235414D992E2ADF6B2FAEA8",1)</v>
      </c>
      <c r="K492" s="105" t="s">
        <v>655</v>
      </c>
      <c r="L492" s="8" t="s">
        <v>656</v>
      </c>
    </row>
    <row r="493" ht="82.5" spans="1:13">
      <c r="A493" s="6" t="s">
        <v>653</v>
      </c>
      <c r="B493" s="7">
        <v>46204</v>
      </c>
      <c r="D493" s="8" t="s">
        <v>654</v>
      </c>
      <c r="E493" s="9" t="s">
        <v>642</v>
      </c>
      <c r="F493" s="10">
        <v>12</v>
      </c>
      <c r="G493" s="10">
        <v>10</v>
      </c>
      <c r="H493" s="11">
        <f t="shared" si="47"/>
        <v>120</v>
      </c>
      <c r="I493" s="11" t="s">
        <v>24</v>
      </c>
      <c r="J493" s="9" t="str">
        <f>_xlfn.DISPIMG("ID_F03B4C688CAE4F738902194EEEE47AA3",1)</f>
        <v>=DISPIMG("ID_F03B4C688CAE4F738902194EEEE47AA3",1)</v>
      </c>
      <c r="K493" s="105" t="s">
        <v>655</v>
      </c>
      <c r="L493" s="8" t="s">
        <v>656</v>
      </c>
    </row>
    <row r="494" spans="1:13">
      <c r="A494" s="6" t="s">
        <v>657</v>
      </c>
      <c r="B494" s="7">
        <v>46187</v>
      </c>
      <c r="D494" s="8" t="s">
        <v>203</v>
      </c>
      <c r="E494" s="9" t="s">
        <v>265</v>
      </c>
      <c r="F494" s="10">
        <v>12</v>
      </c>
      <c r="G494" s="10">
        <v>20</v>
      </c>
      <c r="H494" s="11">
        <f t="shared" si="47"/>
        <v>240</v>
      </c>
      <c r="I494" s="11" t="s">
        <v>24</v>
      </c>
      <c r="K494" s="105"/>
    </row>
    <row r="495" ht="64.5" spans="1:13">
      <c r="A495" s="6" t="s">
        <v>658</v>
      </c>
      <c r="B495" s="7">
        <v>46198</v>
      </c>
      <c r="D495" s="8" t="s">
        <v>659</v>
      </c>
      <c r="E495" s="9" t="s">
        <v>77</v>
      </c>
      <c r="F495" s="10">
        <v>12</v>
      </c>
      <c r="G495" s="10">
        <v>40</v>
      </c>
      <c r="H495" s="11">
        <f t="shared" ref="H495:H497" si="48">F495*G495</f>
        <v>480</v>
      </c>
      <c r="I495" s="11" t="s">
        <v>24</v>
      </c>
      <c r="J495" s="9" t="str">
        <f>_xlfn.DISPIMG("ID_2F79EC9A4E794DE491AF9F5F820E57D5",1)</f>
        <v>=DISPIMG("ID_2F79EC9A4E794DE491AF9F5F820E57D5",1)</v>
      </c>
      <c r="K495" s="105">
        <v>46198</v>
      </c>
    </row>
    <row r="496" ht="63" spans="1:13">
      <c r="A496" s="6" t="s">
        <v>658</v>
      </c>
      <c r="B496" s="7">
        <v>46206</v>
      </c>
      <c r="D496" s="8" t="s">
        <v>659</v>
      </c>
      <c r="E496" s="9" t="s">
        <v>34</v>
      </c>
      <c r="F496" s="10">
        <v>12</v>
      </c>
      <c r="G496" s="10">
        <v>7</v>
      </c>
      <c r="H496" s="11">
        <f t="shared" si="48"/>
        <v>84</v>
      </c>
      <c r="I496" s="11" t="s">
        <v>24</v>
      </c>
      <c r="J496" s="9" t="str">
        <f>_xlfn.DISPIMG("ID_19A58FBDCCFF4CB5B4A970AFA0CA369D",1)</f>
        <v>=DISPIMG("ID_19A58FBDCCFF4CB5B4A970AFA0CA369D",1)</v>
      </c>
      <c r="K496" s="105">
        <v>46198</v>
      </c>
      <c r="L496" s="8" t="s">
        <v>660</v>
      </c>
    </row>
    <row r="497" s="39" customFormat="1" ht="63" spans="1:19">
      <c r="A497" s="74" t="s">
        <v>658</v>
      </c>
      <c r="B497" s="73"/>
      <c r="C497" s="73"/>
      <c r="D497" s="113" t="s">
        <v>659</v>
      </c>
      <c r="E497" s="39" t="s">
        <v>34</v>
      </c>
      <c r="F497" s="39">
        <v>12</v>
      </c>
      <c r="G497" s="39">
        <v>3</v>
      </c>
      <c r="H497" s="11">
        <f t="shared" si="48"/>
        <v>36</v>
      </c>
      <c r="I497" s="11" t="s">
        <v>24</v>
      </c>
      <c r="J497" s="39" t="str">
        <f>_xlfn.DISPIMG("ID_19A58FBDCCFF4CB5B4A970AFA0CA369D",1)</f>
        <v>=DISPIMG("ID_19A58FBDCCFF4CB5B4A970AFA0CA369D",1)</v>
      </c>
      <c r="K497" s="135">
        <v>46218</v>
      </c>
      <c r="L497" s="113" t="s">
        <v>661</v>
      </c>
      <c r="M497" s="113"/>
      <c r="N497" s="113"/>
      <c r="P497" s="135"/>
      <c r="Q497" s="113"/>
      <c r="R497" s="113"/>
      <c r="S497" s="113"/>
    </row>
    <row r="498" ht="237.95" spans="1:19">
      <c r="A498" s="6" t="s">
        <v>662</v>
      </c>
      <c r="D498" s="8" t="s">
        <v>663</v>
      </c>
      <c r="E498" s="9" t="s">
        <v>262</v>
      </c>
      <c r="F498" s="10">
        <v>12</v>
      </c>
      <c r="G498" s="10">
        <v>40</v>
      </c>
      <c r="H498" s="11">
        <f t="shared" ref="H498:H517" si="49">F498*G498</f>
        <v>480</v>
      </c>
      <c r="I498" s="11" t="s">
        <v>24</v>
      </c>
      <c r="J498" s="9" t="str">
        <f>_xlfn.DISPIMG("ID_A027562D8D8642ACB033C9E2BC8B1C05",1)</f>
        <v>=DISPIMG("ID_A027562D8D8642ACB033C9E2BC8B1C05",1)</v>
      </c>
      <c r="K498" s="105">
        <v>46218</v>
      </c>
      <c r="L498" s="8" t="s">
        <v>664</v>
      </c>
      <c r="M498" s="8" t="str">
        <f>_xlfn.DISPIMG("ID_EA2221114FDA4AD190711AC0AF679F44",1)</f>
        <v>=DISPIMG("ID_EA2221114FDA4AD190711AC0AF679F44",1)</v>
      </c>
      <c r="N498" s="8" t="s">
        <v>665</v>
      </c>
      <c r="O498" s="9" t="str">
        <f>_xlfn.DISPIMG("ID_AB97EA6A1DAB4B34B828ECCA037A962E",1)</f>
        <v>=DISPIMG("ID_AB97EA6A1DAB4B34B828ECCA037A962E",1)</v>
      </c>
      <c r="P498" s="105"/>
    </row>
    <row r="499" ht="238.85" spans="1:19">
      <c r="A499" s="6" t="s">
        <v>662</v>
      </c>
      <c r="D499" s="8" t="s">
        <v>663</v>
      </c>
      <c r="E499" s="9" t="s">
        <v>261</v>
      </c>
      <c r="F499" s="10">
        <v>12</v>
      </c>
      <c r="G499" s="10">
        <v>417</v>
      </c>
      <c r="H499" s="11">
        <f t="shared" si="49"/>
        <v>5004</v>
      </c>
      <c r="I499" s="11" t="s">
        <v>24</v>
      </c>
      <c r="J499" s="9" t="str">
        <f>_xlfn.DISPIMG("ID_A7894C114235414D992E2ADF6B2FAEA8",1)</f>
        <v>=DISPIMG("ID_A7894C114235414D992E2ADF6B2FAEA8",1)</v>
      </c>
      <c r="K499" s="105">
        <v>46218</v>
      </c>
      <c r="L499" s="8" t="s">
        <v>666</v>
      </c>
      <c r="M499" s="8" t="str">
        <f>_xlfn.DISPIMG("ID_12276EB83CD14311B4F854463720569B",1)</f>
        <v>=DISPIMG("ID_12276EB83CD14311B4F854463720569B",1)</v>
      </c>
      <c r="N499" s="8" t="s">
        <v>665</v>
      </c>
      <c r="O499" s="9" t="str">
        <f>_xlfn.DISPIMG("ID_0ACFE467F81F4252BABC7D709A7E5BE7",1)</f>
        <v>=DISPIMG("ID_0ACFE467F81F4252BABC7D709A7E5BE7",1)</v>
      </c>
    </row>
    <row r="500" ht="242.6" spans="1:19">
      <c r="A500" s="6" t="s">
        <v>662</v>
      </c>
      <c r="D500" s="8" t="s">
        <v>663</v>
      </c>
      <c r="E500" s="9" t="s">
        <v>162</v>
      </c>
      <c r="F500" s="10">
        <v>12</v>
      </c>
      <c r="G500" s="10">
        <v>334</v>
      </c>
      <c r="H500" s="11">
        <f t="shared" si="49"/>
        <v>4008</v>
      </c>
      <c r="I500" s="11" t="s">
        <v>24</v>
      </c>
      <c r="J500" s="177" t="str">
        <f>_xlfn.DISPIMG("ID_8B66A4378EE646A0AA7F7264AD588568",1)</f>
        <v>=DISPIMG("ID_8B66A4378EE646A0AA7F7264AD588568",1)</v>
      </c>
      <c r="K500" s="105">
        <v>46218</v>
      </c>
      <c r="L500" s="8" t="s">
        <v>667</v>
      </c>
      <c r="M500" s="8" t="str">
        <f>_xlfn.DISPIMG("ID_1815AF8BA224431092858D4B52CE3B22",1)</f>
        <v>=DISPIMG("ID_1815AF8BA224431092858D4B52CE3B22",1)</v>
      </c>
      <c r="N500" s="8" t="s">
        <v>665</v>
      </c>
      <c r="O500" s="9" t="str">
        <f>_xlfn.DISPIMG("ID_03B1204637C4434689BD877CCD963109",1)</f>
        <v>=DISPIMG("ID_03B1204637C4434689BD877CCD963109",1)</v>
      </c>
    </row>
    <row r="501" ht="238.3" spans="1:19">
      <c r="A501" s="6" t="s">
        <v>662</v>
      </c>
      <c r="D501" s="8" t="s">
        <v>663</v>
      </c>
      <c r="E501" s="9" t="s">
        <v>221</v>
      </c>
      <c r="F501" s="10">
        <v>12</v>
      </c>
      <c r="G501" s="10">
        <v>84</v>
      </c>
      <c r="H501" s="11">
        <f t="shared" si="49"/>
        <v>1008</v>
      </c>
      <c r="I501" s="11" t="s">
        <v>24</v>
      </c>
      <c r="J501" s="177" t="str">
        <f>_xlfn.DISPIMG("ID_97C42809ACBF40448BD2932C5552A72F",1)</f>
        <v>=DISPIMG("ID_97C42809ACBF40448BD2932C5552A72F",1)</v>
      </c>
      <c r="K501" s="105">
        <v>46218</v>
      </c>
      <c r="L501" s="8" t="s">
        <v>668</v>
      </c>
      <c r="M501" s="8" t="str">
        <f>_xlfn.DISPIMG("ID_7226BDEF944A4B77827DA05EBCECFD2B",1)</f>
        <v>=DISPIMG("ID_7226BDEF944A4B77827DA05EBCECFD2B",1)</v>
      </c>
      <c r="N501" s="8" t="s">
        <v>665</v>
      </c>
      <c r="O501" s="9" t="str">
        <f>_xlfn.DISPIMG("ID_31851778B6934EBDA21306C366D6A083",1)</f>
        <v>=DISPIMG("ID_31851778B6934EBDA21306C366D6A083",1)</v>
      </c>
    </row>
    <row r="502" ht="243.4" spans="1:19">
      <c r="A502" s="6" t="s">
        <v>662</v>
      </c>
      <c r="D502" s="8" t="s">
        <v>663</v>
      </c>
      <c r="E502" s="9" t="s">
        <v>669</v>
      </c>
      <c r="F502" s="10">
        <v>12</v>
      </c>
      <c r="G502" s="10">
        <v>10</v>
      </c>
      <c r="H502" s="11">
        <f t="shared" si="49"/>
        <v>120</v>
      </c>
      <c r="I502" s="11" t="s">
        <v>24</v>
      </c>
      <c r="J502" s="177" t="str">
        <f>_xlfn.DISPIMG("ID_E659F83EADCA495CB4D7BB311834834A",1)</f>
        <v>=DISPIMG("ID_E659F83EADCA495CB4D7BB311834834A",1)</v>
      </c>
      <c r="K502" s="105">
        <v>46218</v>
      </c>
      <c r="L502" s="178" t="s">
        <v>670</v>
      </c>
      <c r="M502" s="8" t="str">
        <f>_xlfn.DISPIMG("ID_E7FCA8F113974AF29E135B08C5058D65",1)</f>
        <v>=DISPIMG("ID_E7FCA8F113974AF29E135B08C5058D65",1)</v>
      </c>
      <c r="O502" s="9" t="str">
        <f>_xlfn.DISPIMG("ID_E3C1CD9B5BA9422E911D8EEBA92E88D7",1)</f>
        <v>=DISPIMG("ID_E3C1CD9B5BA9422E911D8EEBA92E88D7",1)</v>
      </c>
    </row>
    <row r="503" ht="257.95" spans="1:19">
      <c r="A503" s="6" t="s">
        <v>662</v>
      </c>
      <c r="D503" s="8" t="s">
        <v>663</v>
      </c>
      <c r="E503" s="9" t="s">
        <v>671</v>
      </c>
      <c r="F503" s="10">
        <v>12</v>
      </c>
      <c r="G503" s="10">
        <v>10</v>
      </c>
      <c r="H503" s="11">
        <f t="shared" si="49"/>
        <v>120</v>
      </c>
      <c r="I503" s="11" t="s">
        <v>24</v>
      </c>
      <c r="J503" s="177" t="str">
        <f>_xlfn.DISPIMG("ID_4BEF828AA0C245D3AE5AB475EBDF8D30",1)</f>
        <v>=DISPIMG("ID_4BEF828AA0C245D3AE5AB475EBDF8D30",1)</v>
      </c>
      <c r="K503" s="105">
        <v>46218</v>
      </c>
      <c r="L503" s="178" t="s">
        <v>672</v>
      </c>
      <c r="M503" s="8" t="str">
        <f>_xlfn.DISPIMG("ID_58FB85428C1347A9AC64C1FF1AA62671",1)</f>
        <v>=DISPIMG("ID_58FB85428C1347A9AC64C1FF1AA62671",1)</v>
      </c>
      <c r="O503" s="9" t="str">
        <f>_xlfn.DISPIMG("ID_B4B0E08E034A40B9A8005B07E5E516CF",1)</f>
        <v>=DISPIMG("ID_B4B0E08E034A40B9A8005B07E5E516CF",1)</v>
      </c>
    </row>
    <row r="504" ht="233" customHeight="1" spans="1:19">
      <c r="A504" s="6" t="s">
        <v>662</v>
      </c>
      <c r="D504" s="8" t="s">
        <v>663</v>
      </c>
      <c r="E504" s="9" t="s">
        <v>673</v>
      </c>
      <c r="F504" s="10">
        <v>12</v>
      </c>
      <c r="G504" s="10">
        <v>20</v>
      </c>
      <c r="H504" s="11">
        <f t="shared" si="49"/>
        <v>240</v>
      </c>
      <c r="I504" s="11" t="s">
        <v>24</v>
      </c>
      <c r="J504" s="177" t="str">
        <f>_xlfn.DISPIMG("ID_5621099B5D3F4D87A9AC370F502975C6",1)</f>
        <v>=DISPIMG("ID_5621099B5D3F4D87A9AC370F502975C6",1)</v>
      </c>
      <c r="K504" s="105">
        <v>46218</v>
      </c>
      <c r="L504" s="8" t="s">
        <v>674</v>
      </c>
      <c r="M504" s="8" t="str">
        <f>_xlfn.DISPIMG("ID_436AD3ADCA014CAABF204FD892DF23A3",1)</f>
        <v>=DISPIMG("ID_436AD3ADCA014CAABF204FD892DF23A3",1)</v>
      </c>
      <c r="O504" s="9" t="str">
        <f>_xlfn.DISPIMG("ID_AE745DD0E0574CDD978D8A35BBB07F73",1)</f>
        <v>=DISPIMG("ID_AE745DD0E0574CDD978D8A35BBB07F73",1)</v>
      </c>
    </row>
    <row r="505" ht="68.25" spans="1:19">
      <c r="A505" s="6" t="s">
        <v>675</v>
      </c>
      <c r="B505" s="7">
        <v>46195</v>
      </c>
      <c r="D505" s="8" t="s">
        <v>676</v>
      </c>
      <c r="E505" s="9" t="s">
        <v>265</v>
      </c>
      <c r="F505" s="10">
        <v>12</v>
      </c>
      <c r="G505" s="10">
        <v>5</v>
      </c>
      <c r="H505" s="11">
        <f t="shared" si="49"/>
        <v>60</v>
      </c>
      <c r="I505" s="11" t="s">
        <v>24</v>
      </c>
      <c r="J505" s="170" t="str">
        <f>_xlfn.DISPIMG("ID_3294B73A1FFC4677ADE17620144269F3",1)</f>
        <v>=DISPIMG("ID_3294B73A1FFC4677ADE17620144269F3",1)</v>
      </c>
      <c r="K505" s="105">
        <v>46196</v>
      </c>
      <c r="N505" s="8"/>
      <c r="O505" s="8" t="s">
        <v>677</v>
      </c>
    </row>
    <row r="506" ht="47.25" spans="1:19">
      <c r="A506" s="6" t="s">
        <v>675</v>
      </c>
      <c r="B506" s="7">
        <v>46195</v>
      </c>
      <c r="D506" s="8" t="s">
        <v>676</v>
      </c>
      <c r="E506" s="9" t="s">
        <v>386</v>
      </c>
      <c r="F506" s="10">
        <v>12</v>
      </c>
      <c r="G506" s="10">
        <v>3</v>
      </c>
      <c r="H506" s="11">
        <f t="shared" si="49"/>
        <v>36</v>
      </c>
      <c r="I506" s="11" t="s">
        <v>24</v>
      </c>
      <c r="J506" s="170" t="str">
        <f>_xlfn.DISPIMG("ID_214CC528BB7440DF95F58EB047D8638D",1)</f>
        <v>=DISPIMG("ID_214CC528BB7440DF95F58EB047D8638D",1)</v>
      </c>
      <c r="K506" s="105">
        <v>46196</v>
      </c>
      <c r="N506" s="8"/>
      <c r="O506" s="8" t="s">
        <v>677</v>
      </c>
    </row>
    <row r="507" ht="67.5" spans="1:19">
      <c r="A507" s="6" t="s">
        <v>675</v>
      </c>
      <c r="B507" s="7">
        <v>46195</v>
      </c>
      <c r="D507" s="8" t="s">
        <v>676</v>
      </c>
      <c r="E507" s="9" t="s">
        <v>262</v>
      </c>
      <c r="F507" s="10">
        <v>12</v>
      </c>
      <c r="G507" s="10">
        <v>5</v>
      </c>
      <c r="H507" s="11">
        <f t="shared" si="49"/>
        <v>60</v>
      </c>
      <c r="I507" s="11" t="s">
        <v>24</v>
      </c>
      <c r="J507" s="170" t="str">
        <f>_xlfn.DISPIMG("ID_1C0C3F68730E47C095804792C8036B2D",1)</f>
        <v>=DISPIMG("ID_1C0C3F68730E47C095804792C8036B2D",1)</v>
      </c>
      <c r="K507" s="105">
        <v>46196</v>
      </c>
      <c r="N507" s="8"/>
      <c r="O507" s="8" t="s">
        <v>677</v>
      </c>
    </row>
    <row r="508" ht="84.4" spans="1:19">
      <c r="A508" s="6" t="s">
        <v>678</v>
      </c>
      <c r="B508" s="7">
        <v>46195</v>
      </c>
      <c r="D508" s="8" t="s">
        <v>679</v>
      </c>
      <c r="E508" s="9" t="s">
        <v>386</v>
      </c>
      <c r="F508" s="10">
        <v>12</v>
      </c>
      <c r="G508" s="10">
        <v>6</v>
      </c>
      <c r="H508" s="11">
        <f t="shared" si="49"/>
        <v>72</v>
      </c>
      <c r="I508" s="11" t="s">
        <v>24</v>
      </c>
      <c r="J508" s="170" t="str">
        <f>_xlfn.DISPIMG("ID_214CC528BB7440DF95F58EB047D8638D",1)</f>
        <v>=DISPIMG("ID_214CC528BB7440DF95F58EB047D8638D",1)</v>
      </c>
      <c r="K508" s="105">
        <v>46196</v>
      </c>
      <c r="L508" s="8" t="s">
        <v>680</v>
      </c>
    </row>
    <row r="509" ht="67.5" spans="1:19">
      <c r="A509" s="6" t="s">
        <v>678</v>
      </c>
      <c r="B509" s="7">
        <v>46195</v>
      </c>
      <c r="D509" s="8" t="s">
        <v>679</v>
      </c>
      <c r="E509" s="9" t="s">
        <v>262</v>
      </c>
      <c r="F509" s="10">
        <v>12</v>
      </c>
      <c r="G509" s="10">
        <v>10</v>
      </c>
      <c r="H509" s="11">
        <f t="shared" si="49"/>
        <v>120</v>
      </c>
      <c r="I509" s="11" t="s">
        <v>24</v>
      </c>
      <c r="J509" s="170" t="str">
        <f>_xlfn.DISPIMG("ID_1C0C3F68730E47C095804792C8036B2D",1)</f>
        <v>=DISPIMG("ID_1C0C3F68730E47C095804792C8036B2D",1)</v>
      </c>
      <c r="K509" s="105">
        <v>46196</v>
      </c>
      <c r="L509" s="8" t="s">
        <v>680</v>
      </c>
    </row>
    <row r="510" ht="45" spans="1:19">
      <c r="A510" s="6" t="s">
        <v>681</v>
      </c>
      <c r="D510" s="8" t="s">
        <v>682</v>
      </c>
      <c r="E510" s="9" t="s">
        <v>261</v>
      </c>
      <c r="F510" s="10">
        <v>12</v>
      </c>
      <c r="G510" s="10">
        <v>30</v>
      </c>
      <c r="H510" s="11">
        <f t="shared" si="49"/>
        <v>360</v>
      </c>
      <c r="I510" s="11" t="s">
        <v>24</v>
      </c>
      <c r="J510" s="9" t="str">
        <f>_xlfn.DISPIMG("ID_3F8539E6FF004F38B0971298AB9A49B0",1)</f>
        <v>=DISPIMG("ID_3F8539E6FF004F38B0971298AB9A49B0",1)</v>
      </c>
      <c r="L510" s="8" t="s">
        <v>683</v>
      </c>
    </row>
    <row r="511" ht="68.25" spans="1:19">
      <c r="A511" s="6" t="s">
        <v>681</v>
      </c>
      <c r="D511" s="8" t="s">
        <v>682</v>
      </c>
      <c r="E511" s="9" t="s">
        <v>265</v>
      </c>
      <c r="F511" s="10">
        <v>12</v>
      </c>
      <c r="G511" s="10">
        <v>3</v>
      </c>
      <c r="H511" s="11">
        <f t="shared" si="49"/>
        <v>36</v>
      </c>
      <c r="I511" s="11" t="s">
        <v>24</v>
      </c>
      <c r="J511" s="170" t="str">
        <f>_xlfn.DISPIMG("ID_3294B73A1FFC4677ADE17620144269F3",1)</f>
        <v>=DISPIMG("ID_3294B73A1FFC4677ADE17620144269F3",1)</v>
      </c>
      <c r="L511" s="8" t="s">
        <v>683</v>
      </c>
    </row>
    <row r="512" ht="67.5" spans="1:19">
      <c r="A512" s="6" t="s">
        <v>684</v>
      </c>
      <c r="B512" s="7">
        <v>46204</v>
      </c>
      <c r="D512" s="8" t="s">
        <v>685</v>
      </c>
      <c r="E512" s="9" t="s">
        <v>262</v>
      </c>
      <c r="F512" s="10">
        <v>12</v>
      </c>
      <c r="G512" s="10">
        <v>8</v>
      </c>
      <c r="H512" s="11">
        <f t="shared" si="49"/>
        <v>96</v>
      </c>
      <c r="I512" s="11" t="s">
        <v>24</v>
      </c>
      <c r="J512" s="9" t="str">
        <f>_xlfn.DISPIMG("ID_A05ACB88EDA344129AD7DD725BEC65FB",1)</f>
        <v>=DISPIMG("ID_A05ACB88EDA344129AD7DD725BEC65FB",1)</v>
      </c>
      <c r="L512" s="8" t="s">
        <v>686</v>
      </c>
    </row>
    <row r="513" ht="67.5" spans="1:12">
      <c r="A513" s="6" t="s">
        <v>684</v>
      </c>
      <c r="B513" s="7">
        <v>46204</v>
      </c>
      <c r="D513" s="8" t="s">
        <v>685</v>
      </c>
      <c r="E513" s="9" t="s">
        <v>262</v>
      </c>
      <c r="F513" s="10">
        <v>12</v>
      </c>
      <c r="G513" s="10">
        <v>3</v>
      </c>
      <c r="H513" s="11">
        <f t="shared" si="49"/>
        <v>36</v>
      </c>
      <c r="I513" s="11" t="s">
        <v>24</v>
      </c>
      <c r="J513" s="9" t="str">
        <f>_xlfn.DISPIMG("ID_A05ACB88EDA344129AD7DD725BEC65FB",1)</f>
        <v>=DISPIMG("ID_A05ACB88EDA344129AD7DD725BEC65FB",1)</v>
      </c>
      <c r="L513" s="8" t="s">
        <v>687</v>
      </c>
    </row>
    <row r="514" spans="1:12">
      <c r="A514" s="6" t="s">
        <v>688</v>
      </c>
      <c r="B514" s="7">
        <v>46189</v>
      </c>
      <c r="D514" s="8" t="s">
        <v>689</v>
      </c>
      <c r="E514" s="9" t="s">
        <v>74</v>
      </c>
      <c r="F514" s="10">
        <v>12</v>
      </c>
      <c r="G514" s="10">
        <v>5</v>
      </c>
      <c r="H514" s="11">
        <f t="shared" si="49"/>
        <v>60</v>
      </c>
      <c r="I514" s="11" t="s">
        <v>24</v>
      </c>
      <c r="K514" s="105"/>
    </row>
    <row r="515" ht="67.5" spans="1:12">
      <c r="A515" s="6" t="s">
        <v>690</v>
      </c>
      <c r="B515" s="7">
        <v>46196</v>
      </c>
      <c r="D515" s="8" t="s">
        <v>691</v>
      </c>
      <c r="E515" s="9" t="s">
        <v>221</v>
      </c>
      <c r="F515" s="10">
        <v>12</v>
      </c>
      <c r="G515" s="10">
        <v>20</v>
      </c>
      <c r="H515" s="11">
        <f t="shared" ref="H515:H520" si="50">F515*G515</f>
        <v>240</v>
      </c>
      <c r="I515" s="11" t="s">
        <v>24</v>
      </c>
      <c r="J515" s="9" t="str">
        <f>_xlfn.DISPIMG("ID_9EE0C8A5E95842C8B798A1F19AA90AA0",1)</f>
        <v>=DISPIMG("ID_9EE0C8A5E95842C8B798A1F19AA90AA0",1)</v>
      </c>
      <c r="K515" s="105">
        <v>46194</v>
      </c>
    </row>
    <row r="516" ht="63" spans="1:12">
      <c r="A516" s="6" t="s">
        <v>690</v>
      </c>
      <c r="B516" s="7">
        <v>46196</v>
      </c>
      <c r="D516" s="8" t="s">
        <v>691</v>
      </c>
      <c r="E516" s="9" t="s">
        <v>89</v>
      </c>
      <c r="F516" s="10">
        <v>12</v>
      </c>
      <c r="G516" s="10">
        <v>10</v>
      </c>
      <c r="H516" s="11">
        <f t="shared" si="50"/>
        <v>120</v>
      </c>
      <c r="I516" s="11" t="s">
        <v>24</v>
      </c>
      <c r="J516" s="9" t="str">
        <f>_xlfn.DISPIMG("ID_E387129A35D142A99475163BBA88BE55",1)</f>
        <v>=DISPIMG("ID_E387129A35D142A99475163BBA88BE55",1)</v>
      </c>
      <c r="K516" s="105">
        <v>46194</v>
      </c>
    </row>
    <row r="517" ht="63" spans="1:12">
      <c r="A517" s="6" t="s">
        <v>690</v>
      </c>
      <c r="D517" s="8" t="s">
        <v>691</v>
      </c>
      <c r="E517" s="9" t="s">
        <v>692</v>
      </c>
      <c r="F517" s="10">
        <v>12</v>
      </c>
      <c r="G517" s="10">
        <v>10</v>
      </c>
      <c r="H517" s="11">
        <f t="shared" si="50"/>
        <v>120</v>
      </c>
      <c r="I517" s="11" t="s">
        <v>24</v>
      </c>
      <c r="J517" s="9" t="str">
        <f>_xlfn.DISPIMG("ID_3BE7763ABFD943FB9252106FD407EACF",1)</f>
        <v>=DISPIMG("ID_3BE7763ABFD943FB9252106FD407EACF",1)</v>
      </c>
      <c r="K517" s="105">
        <v>46194</v>
      </c>
    </row>
    <row r="518" spans="1:12">
      <c r="A518" s="6" t="s">
        <v>693</v>
      </c>
      <c r="B518" s="7">
        <v>46191</v>
      </c>
      <c r="D518" s="8" t="s">
        <v>185</v>
      </c>
      <c r="E518" s="9" t="s">
        <v>261</v>
      </c>
      <c r="F518" s="10">
        <v>12</v>
      </c>
      <c r="G518" s="10">
        <v>100</v>
      </c>
      <c r="H518" s="11">
        <f t="shared" si="50"/>
        <v>1200</v>
      </c>
      <c r="I518" s="11" t="s">
        <v>24</v>
      </c>
    </row>
    <row r="519" ht="67.5" spans="1:12">
      <c r="A519" s="6" t="s">
        <v>694</v>
      </c>
      <c r="B519" s="7">
        <v>46203</v>
      </c>
      <c r="D519" s="8" t="s">
        <v>515</v>
      </c>
      <c r="E519" s="9" t="s">
        <v>285</v>
      </c>
      <c r="F519" s="10">
        <v>12</v>
      </c>
      <c r="G519" s="10">
        <v>5</v>
      </c>
      <c r="H519" s="11">
        <f t="shared" si="50"/>
        <v>60</v>
      </c>
      <c r="I519" s="11" t="s">
        <v>24</v>
      </c>
      <c r="J519" s="9" t="str">
        <f>_xlfn.DISPIMG("ID_7BB055A3316B478898C3371941006268",1)</f>
        <v>=DISPIMG("ID_7BB055A3316B478898C3371941006268",1)</v>
      </c>
      <c r="K519" s="105">
        <v>46203</v>
      </c>
    </row>
    <row r="520" spans="1:12">
      <c r="A520" s="6" t="s">
        <v>695</v>
      </c>
      <c r="B520" s="7">
        <v>46194</v>
      </c>
      <c r="D520" s="8" t="s">
        <v>106</v>
      </c>
      <c r="E520" s="9" t="s">
        <v>261</v>
      </c>
      <c r="F520" s="10">
        <v>12</v>
      </c>
      <c r="G520" s="10">
        <v>100</v>
      </c>
      <c r="H520" s="11">
        <f t="shared" si="50"/>
        <v>1200</v>
      </c>
      <c r="I520" s="11" t="s">
        <v>24</v>
      </c>
      <c r="K520" s="105"/>
    </row>
    <row r="521" spans="1:12">
      <c r="A521" s="6" t="s">
        <v>696</v>
      </c>
      <c r="B521" s="7">
        <v>46195</v>
      </c>
      <c r="D521" s="8" t="s">
        <v>185</v>
      </c>
      <c r="E521" s="9" t="s">
        <v>642</v>
      </c>
      <c r="F521" s="10">
        <v>12</v>
      </c>
      <c r="G521" s="10">
        <v>10</v>
      </c>
      <c r="H521" s="11">
        <f t="shared" ref="H521:H532" si="51">F521*G521</f>
        <v>120</v>
      </c>
      <c r="I521" s="11" t="s">
        <v>24</v>
      </c>
      <c r="K521" s="105"/>
    </row>
    <row r="522" spans="1:12">
      <c r="A522" s="6" t="s">
        <v>697</v>
      </c>
      <c r="B522" s="7">
        <v>46196</v>
      </c>
      <c r="D522" s="8" t="s">
        <v>698</v>
      </c>
      <c r="E522" s="9" t="s">
        <v>261</v>
      </c>
      <c r="F522" s="10">
        <v>12</v>
      </c>
      <c r="G522" s="10">
        <v>4</v>
      </c>
      <c r="H522" s="11">
        <f t="shared" si="51"/>
        <v>48</v>
      </c>
      <c r="I522" s="11" t="s">
        <v>24</v>
      </c>
      <c r="K522" s="105"/>
    </row>
    <row r="523" spans="1:12">
      <c r="A523" s="6" t="s">
        <v>699</v>
      </c>
      <c r="B523" s="7">
        <v>46196</v>
      </c>
      <c r="D523" s="8" t="s">
        <v>185</v>
      </c>
      <c r="E523" s="9" t="s">
        <v>77</v>
      </c>
      <c r="F523" s="10">
        <v>12</v>
      </c>
      <c r="G523" s="10">
        <v>20</v>
      </c>
      <c r="H523" s="11">
        <f t="shared" si="51"/>
        <v>240</v>
      </c>
      <c r="I523" s="11" t="s">
        <v>24</v>
      </c>
      <c r="K523" s="105"/>
    </row>
    <row r="524" spans="1:12">
      <c r="A524" s="6" t="s">
        <v>699</v>
      </c>
      <c r="B524" s="7">
        <v>46196</v>
      </c>
      <c r="D524" s="8" t="s">
        <v>185</v>
      </c>
      <c r="E524" s="9" t="s">
        <v>265</v>
      </c>
      <c r="F524" s="10">
        <v>12</v>
      </c>
      <c r="G524" s="10">
        <v>50</v>
      </c>
      <c r="H524" s="11">
        <f t="shared" si="51"/>
        <v>600</v>
      </c>
      <c r="I524" s="11" t="s">
        <v>24</v>
      </c>
      <c r="K524" s="105"/>
    </row>
    <row r="525" spans="1:12">
      <c r="A525" s="6" t="s">
        <v>700</v>
      </c>
      <c r="B525" s="7">
        <v>46197</v>
      </c>
      <c r="D525" s="8" t="s">
        <v>260</v>
      </c>
      <c r="E525" s="9" t="s">
        <v>261</v>
      </c>
      <c r="F525" s="10">
        <v>12</v>
      </c>
      <c r="G525" s="10">
        <v>20</v>
      </c>
      <c r="H525" s="11">
        <f t="shared" si="51"/>
        <v>240</v>
      </c>
      <c r="I525" s="11" t="s">
        <v>24</v>
      </c>
      <c r="K525" s="105"/>
    </row>
    <row r="526" spans="1:12">
      <c r="A526" s="6" t="s">
        <v>700</v>
      </c>
      <c r="D526" s="8" t="s">
        <v>260</v>
      </c>
      <c r="E526" s="9" t="s">
        <v>261</v>
      </c>
      <c r="F526" s="10">
        <v>12</v>
      </c>
      <c r="G526" s="10">
        <v>30</v>
      </c>
      <c r="H526" s="11">
        <f t="shared" si="51"/>
        <v>360</v>
      </c>
      <c r="I526" s="11" t="s">
        <v>24</v>
      </c>
      <c r="J526" s="105"/>
      <c r="K526" s="105">
        <v>46218</v>
      </c>
    </row>
    <row r="527" ht="88.5" spans="1:12">
      <c r="A527" s="6" t="s">
        <v>701</v>
      </c>
      <c r="D527" s="8" t="s">
        <v>702</v>
      </c>
      <c r="E527" s="9" t="s">
        <v>262</v>
      </c>
      <c r="F527" s="10">
        <v>12</v>
      </c>
      <c r="G527" s="10">
        <v>5</v>
      </c>
      <c r="H527" s="11">
        <f t="shared" si="51"/>
        <v>60</v>
      </c>
      <c r="I527" s="11" t="s">
        <v>24</v>
      </c>
      <c r="J527" s="9" t="str">
        <f>_xlfn.DISPIMG("ID_1B2B07382F21469580B93808EECEE5EB",1)</f>
        <v>=DISPIMG("ID_1B2B07382F21469580B93808EECEE5EB",1)</v>
      </c>
      <c r="K527" s="105">
        <v>46219</v>
      </c>
      <c r="L527" s="8" t="s">
        <v>703</v>
      </c>
    </row>
    <row r="528" ht="60" spans="1:12">
      <c r="A528" s="6" t="s">
        <v>701</v>
      </c>
      <c r="D528" s="8" t="s">
        <v>702</v>
      </c>
      <c r="E528" s="9" t="s">
        <v>261</v>
      </c>
      <c r="F528" s="10">
        <v>12</v>
      </c>
      <c r="G528" s="10">
        <v>10</v>
      </c>
      <c r="H528" s="11">
        <f t="shared" si="51"/>
        <v>120</v>
      </c>
      <c r="I528" s="11" t="s">
        <v>24</v>
      </c>
      <c r="J528" s="9" t="str">
        <f>_xlfn.DISPIMG("ID_480A605894404788B6CDD1ED65D96EB4",1)</f>
        <v>=DISPIMG("ID_480A605894404788B6CDD1ED65D96EB4",1)</v>
      </c>
      <c r="K528" s="105">
        <v>46219</v>
      </c>
      <c r="L528" s="8" t="s">
        <v>703</v>
      </c>
    </row>
    <row r="529" ht="89.25" spans="1:17">
      <c r="A529" s="6" t="s">
        <v>701</v>
      </c>
      <c r="D529" s="8" t="s">
        <v>702</v>
      </c>
      <c r="E529" s="9" t="s">
        <v>265</v>
      </c>
      <c r="F529" s="10">
        <v>12</v>
      </c>
      <c r="G529" s="10">
        <v>10</v>
      </c>
      <c r="H529" s="11">
        <f t="shared" si="51"/>
        <v>120</v>
      </c>
      <c r="I529" s="11" t="s">
        <v>24</v>
      </c>
      <c r="J529" s="9" t="str">
        <f>_xlfn.DISPIMG("ID_C7C95F871DB04060829C111A8B234866",1)</f>
        <v>=DISPIMG("ID_C7C95F871DB04060829C111A8B234866",1)</v>
      </c>
      <c r="K529" s="105">
        <v>46219</v>
      </c>
      <c r="L529" s="8" t="s">
        <v>703</v>
      </c>
    </row>
    <row r="530" ht="89.25" spans="1:17">
      <c r="A530" s="6" t="s">
        <v>701</v>
      </c>
      <c r="D530" s="8" t="s">
        <v>702</v>
      </c>
      <c r="E530" s="9" t="s">
        <v>642</v>
      </c>
      <c r="F530" s="10">
        <v>12</v>
      </c>
      <c r="G530" s="10">
        <v>10</v>
      </c>
      <c r="H530" s="11">
        <f t="shared" si="51"/>
        <v>120</v>
      </c>
      <c r="I530" s="11" t="s">
        <v>24</v>
      </c>
      <c r="J530" s="9" t="str">
        <f>_xlfn.DISPIMG("ID_A79174AC537346DCA5A92825FC27007C",1)</f>
        <v>=DISPIMG("ID_A79174AC537346DCA5A92825FC27007C",1)</v>
      </c>
      <c r="K530" s="105">
        <v>46219</v>
      </c>
      <c r="L530" s="8" t="s">
        <v>703</v>
      </c>
    </row>
    <row r="531" ht="60" spans="1:17">
      <c r="A531" s="6" t="s">
        <v>701</v>
      </c>
      <c r="D531" s="8" t="s">
        <v>702</v>
      </c>
      <c r="E531" s="9" t="s">
        <v>386</v>
      </c>
      <c r="F531" s="10">
        <v>24</v>
      </c>
      <c r="G531" s="10">
        <v>2</v>
      </c>
      <c r="H531" s="11">
        <f t="shared" si="51"/>
        <v>48</v>
      </c>
      <c r="I531" s="11" t="s">
        <v>24</v>
      </c>
      <c r="J531" s="9" t="str">
        <f>_xlfn.DISPIMG("ID_3BF0B0B6E7E8415EABEEA076437EFE3D",1)</f>
        <v>=DISPIMG("ID_3BF0B0B6E7E8415EABEEA076437EFE3D",1)</v>
      </c>
      <c r="K531" s="105">
        <v>46219</v>
      </c>
      <c r="L531" s="8" t="s">
        <v>704</v>
      </c>
      <c r="Q531" s="8" t="s">
        <v>705</v>
      </c>
    </row>
    <row r="532" ht="65.25" spans="1:17">
      <c r="A532" s="6" t="s">
        <v>701</v>
      </c>
      <c r="D532" s="8" t="s">
        <v>702</v>
      </c>
      <c r="E532" s="9" t="s">
        <v>77</v>
      </c>
      <c r="F532" s="10">
        <v>12</v>
      </c>
      <c r="G532" s="10">
        <v>5</v>
      </c>
      <c r="H532" s="11">
        <f t="shared" si="51"/>
        <v>60</v>
      </c>
      <c r="I532" s="11" t="s">
        <v>24</v>
      </c>
      <c r="J532" s="9" t="str">
        <f>_xlfn.DISPIMG("ID_5AF545F05B9348E19E88C75A480A04F0",1)</f>
        <v>=DISPIMG("ID_5AF545F05B9348E19E88C75A480A04F0",1)</v>
      </c>
      <c r="K532" s="105">
        <v>46219</v>
      </c>
      <c r="L532" s="8" t="s">
        <v>706</v>
      </c>
    </row>
    <row r="533" ht="103.15" spans="1:17">
      <c r="A533" s="6" t="s">
        <v>707</v>
      </c>
      <c r="D533" s="8" t="s">
        <v>145</v>
      </c>
      <c r="E533" s="9" t="s">
        <v>77</v>
      </c>
      <c r="F533" s="10"/>
      <c r="G533" s="10"/>
      <c r="H533" s="11">
        <v>55</v>
      </c>
      <c r="I533" s="11" t="s">
        <v>24</v>
      </c>
      <c r="J533" s="9" t="str">
        <f>_xlfn.DISPIMG("ID_069731D3F1F74EF9B8018D9FDCD57760",1)</f>
        <v>=DISPIMG("ID_069731D3F1F74EF9B8018D9FDCD57760",1)</v>
      </c>
      <c r="K533" s="105">
        <v>46167</v>
      </c>
    </row>
    <row r="534" spans="1:17">
      <c r="A534" s="6" t="s">
        <v>708</v>
      </c>
      <c r="B534" s="7">
        <v>46200</v>
      </c>
      <c r="D534" s="8" t="s">
        <v>709</v>
      </c>
      <c r="E534" s="9" t="s">
        <v>261</v>
      </c>
      <c r="F534" s="10">
        <v>12</v>
      </c>
      <c r="G534" s="10">
        <v>10</v>
      </c>
      <c r="H534" s="11">
        <f t="shared" ref="H534:H540" si="52">F534*G534</f>
        <v>120</v>
      </c>
      <c r="I534" s="11" t="s">
        <v>24</v>
      </c>
    </row>
    <row r="535" ht="68.25" spans="1:17">
      <c r="A535" s="6" t="s">
        <v>710</v>
      </c>
      <c r="D535" s="8" t="s">
        <v>711</v>
      </c>
      <c r="E535" s="9" t="s">
        <v>548</v>
      </c>
      <c r="F535" s="10">
        <v>12</v>
      </c>
      <c r="G535" s="10">
        <v>20</v>
      </c>
      <c r="H535" s="11">
        <f t="shared" si="52"/>
        <v>240</v>
      </c>
      <c r="I535" s="11" t="s">
        <v>24</v>
      </c>
      <c r="J535" s="9" t="str">
        <f>_xlfn.DISPIMG("ID_94627F613B8D4E648DD1966AC5F312DC",1)</f>
        <v>=DISPIMG("ID_94627F613B8D4E648DD1966AC5F312DC",1)</v>
      </c>
    </row>
    <row r="536" ht="68.25" spans="1:17">
      <c r="A536" s="6" t="s">
        <v>712</v>
      </c>
      <c r="B536" s="7">
        <v>46204</v>
      </c>
      <c r="D536" s="8" t="s">
        <v>465</v>
      </c>
      <c r="E536" s="9" t="s">
        <v>265</v>
      </c>
      <c r="F536" s="10">
        <v>12</v>
      </c>
      <c r="G536" s="10">
        <v>2</v>
      </c>
      <c r="H536" s="11">
        <f t="shared" si="52"/>
        <v>24</v>
      </c>
      <c r="I536" s="11" t="s">
        <v>24</v>
      </c>
      <c r="J536" s="9" t="str">
        <f>_xlfn.DISPIMG("ID_455FAC64E89F47FBB2994A3205452210",1)</f>
        <v>=DISPIMG("ID_455FAC64E89F47FBB2994A3205452210",1)</v>
      </c>
      <c r="K536" s="105">
        <v>46205</v>
      </c>
    </row>
    <row r="537" ht="63" spans="1:17">
      <c r="A537" s="6" t="s">
        <v>713</v>
      </c>
      <c r="B537" s="7">
        <v>46211</v>
      </c>
      <c r="D537" s="8" t="s">
        <v>714</v>
      </c>
      <c r="E537" s="9" t="s">
        <v>89</v>
      </c>
      <c r="F537" s="10">
        <v>12</v>
      </c>
      <c r="G537" s="10">
        <v>17</v>
      </c>
      <c r="H537" s="11">
        <f t="shared" si="52"/>
        <v>204</v>
      </c>
      <c r="I537" s="11" t="s">
        <v>24</v>
      </c>
      <c r="J537" s="170" t="str">
        <f>_xlfn.DISPIMG("ID_D01ED31838974CB18AEAAFE451E52F1A",1)</f>
        <v>=DISPIMG("ID_D01ED31838974CB18AEAAFE451E52F1A",1)</v>
      </c>
      <c r="K537" s="105">
        <v>46211</v>
      </c>
      <c r="L537" s="8" t="s">
        <v>715</v>
      </c>
    </row>
    <row r="538" ht="90" spans="1:17">
      <c r="A538" s="6" t="s">
        <v>716</v>
      </c>
      <c r="D538" s="8" t="s">
        <v>717</v>
      </c>
      <c r="E538" s="9" t="s">
        <v>261</v>
      </c>
      <c r="F538" s="10">
        <v>12</v>
      </c>
      <c r="G538" s="10">
        <v>70</v>
      </c>
      <c r="H538" s="11">
        <f t="shared" si="52"/>
        <v>840</v>
      </c>
      <c r="I538" s="11" t="s">
        <v>24</v>
      </c>
      <c r="J538" s="9" t="str">
        <f>_xlfn.DISPIMG("ID_84358157A50546A4A29045832821CD65",1)</f>
        <v>=DISPIMG("ID_84358157A50546A4A29045832821CD65",1)</v>
      </c>
      <c r="L538" s="8" t="s">
        <v>718</v>
      </c>
    </row>
    <row r="539" ht="49.5" spans="1:17">
      <c r="A539" s="6" t="s">
        <v>719</v>
      </c>
      <c r="D539" s="8" t="s">
        <v>720</v>
      </c>
      <c r="E539" s="9" t="s">
        <v>261</v>
      </c>
      <c r="F539" s="10">
        <v>12</v>
      </c>
      <c r="G539" s="10">
        <v>25</v>
      </c>
      <c r="H539" s="11">
        <f t="shared" si="52"/>
        <v>300</v>
      </c>
      <c r="I539" s="11" t="s">
        <v>24</v>
      </c>
      <c r="J539" s="9" t="str">
        <f>_xlfn.DISPIMG("ID_0E299618027D4F7F97AB7B5FDC45E24A",1)</f>
        <v>=DISPIMG("ID_0E299618027D4F7F97AB7B5FDC45E24A",1)</v>
      </c>
      <c r="K539" s="105" t="s">
        <v>721</v>
      </c>
      <c r="L539" s="8" t="s">
        <v>722</v>
      </c>
    </row>
    <row r="540" ht="67.5" spans="1:17">
      <c r="A540" s="6" t="s">
        <v>719</v>
      </c>
      <c r="D540" s="8" t="s">
        <v>720</v>
      </c>
      <c r="E540" s="9" t="s">
        <v>262</v>
      </c>
      <c r="F540" s="10">
        <v>12</v>
      </c>
      <c r="G540" s="10">
        <v>25</v>
      </c>
      <c r="H540" s="11">
        <f t="shared" si="52"/>
        <v>300</v>
      </c>
      <c r="I540" s="11" t="s">
        <v>24</v>
      </c>
      <c r="J540" s="9" t="str">
        <f>_xlfn.DISPIMG("ID_8335B8C49C5F4C3DBFF99C78FC4E4520",1)</f>
        <v>=DISPIMG("ID_8335B8C49C5F4C3DBFF99C78FC4E4520",1)</v>
      </c>
      <c r="K540" s="105" t="s">
        <v>721</v>
      </c>
      <c r="L540" s="8" t="s">
        <v>722</v>
      </c>
    </row>
    <row r="541" ht="105.05" spans="1:17">
      <c r="A541" s="6" t="s">
        <v>723</v>
      </c>
      <c r="B541" s="7">
        <v>46208</v>
      </c>
      <c r="D541" s="8" t="s">
        <v>724</v>
      </c>
      <c r="E541" s="9" t="s">
        <v>261</v>
      </c>
      <c r="F541" s="10">
        <v>12</v>
      </c>
      <c r="G541" s="10">
        <v>70</v>
      </c>
      <c r="H541" s="11">
        <f t="shared" ref="H541:H566" si="53">F541*G541</f>
        <v>840</v>
      </c>
      <c r="I541" s="11" t="s">
        <v>24</v>
      </c>
      <c r="J541" s="9" t="str">
        <f>_xlfn.DISPIMG("ID_77C3662580A345C6A6BD4C650AF28FB7",1)</f>
        <v>=DISPIMG("ID_77C3662580A345C6A6BD4C650AF28FB7",1)</v>
      </c>
      <c r="K541" s="105">
        <v>46210</v>
      </c>
      <c r="L541" s="8" t="s">
        <v>725</v>
      </c>
      <c r="M541" s="9" t="str">
        <f>_xlfn.DISPIMG("ID_3E916AB2BBFC42B984ED25A8AE4523F3",1)</f>
        <v>=DISPIMG("ID_3E916AB2BBFC42B984ED25A8AE4523F3",1)</v>
      </c>
      <c r="N541" s="9" t="s">
        <v>726</v>
      </c>
    </row>
    <row r="542" ht="105.05" spans="1:17">
      <c r="A542" s="6" t="s">
        <v>723</v>
      </c>
      <c r="B542" s="7">
        <v>46208</v>
      </c>
      <c r="D542" s="8" t="s">
        <v>724</v>
      </c>
      <c r="E542" s="9" t="s">
        <v>265</v>
      </c>
      <c r="F542" s="10">
        <v>12</v>
      </c>
      <c r="G542" s="10">
        <v>40</v>
      </c>
      <c r="H542" s="11">
        <f t="shared" si="53"/>
        <v>480</v>
      </c>
      <c r="I542" s="11" t="s">
        <v>24</v>
      </c>
      <c r="J542" s="9" t="str">
        <f>_xlfn.DISPIMG("ID_A0DEB82584E64F15A29FE4D0D2E9DF21",1)</f>
        <v>=DISPIMG("ID_A0DEB82584E64F15A29FE4D0D2E9DF21",1)</v>
      </c>
      <c r="K542" s="105">
        <v>46210</v>
      </c>
      <c r="L542" s="8" t="s">
        <v>725</v>
      </c>
      <c r="M542" s="9" t="str">
        <f>_xlfn.DISPIMG("ID_3E916AB2BBFC42B984ED25A8AE4523F3",1)</f>
        <v>=DISPIMG("ID_3E916AB2BBFC42B984ED25A8AE4523F3",1)</v>
      </c>
      <c r="N542" s="9" t="s">
        <v>726</v>
      </c>
    </row>
    <row r="543" ht="105.05" spans="1:17">
      <c r="A543" s="6" t="s">
        <v>723</v>
      </c>
      <c r="B543" s="7">
        <v>46208</v>
      </c>
      <c r="D543" s="8" t="s">
        <v>724</v>
      </c>
      <c r="E543" s="9" t="s">
        <v>262</v>
      </c>
      <c r="F543" s="10">
        <v>12</v>
      </c>
      <c r="G543" s="10">
        <v>20</v>
      </c>
      <c r="H543" s="11">
        <f t="shared" si="53"/>
        <v>240</v>
      </c>
      <c r="I543" s="11" t="s">
        <v>24</v>
      </c>
      <c r="J543" s="9" t="str">
        <f>_xlfn.DISPIMG("ID_D19641F9A2074D40AF27D3A6CD3DED8D",1)</f>
        <v>=DISPIMG("ID_D19641F9A2074D40AF27D3A6CD3DED8D",1)</v>
      </c>
      <c r="K543" s="105">
        <v>46210</v>
      </c>
      <c r="L543" s="8" t="s">
        <v>725</v>
      </c>
      <c r="M543" s="9" t="str">
        <f>_xlfn.DISPIMG("ID_292F776AA4124B9286C7AE0EB4BB94FC",1)</f>
        <v>=DISPIMG("ID_292F776AA4124B9286C7AE0EB4BB94FC",1)</v>
      </c>
      <c r="N543" s="9" t="s">
        <v>726</v>
      </c>
    </row>
    <row r="544" ht="67.5" spans="1:17">
      <c r="A544" s="6" t="s">
        <v>727</v>
      </c>
      <c r="B544" s="7">
        <v>46206</v>
      </c>
      <c r="D544" s="8" t="s">
        <v>106</v>
      </c>
      <c r="E544" s="9" t="s">
        <v>262</v>
      </c>
      <c r="F544" s="10">
        <v>12</v>
      </c>
      <c r="G544" s="10">
        <v>5</v>
      </c>
      <c r="H544" s="11">
        <f t="shared" si="53"/>
        <v>60</v>
      </c>
      <c r="I544" s="11" t="s">
        <v>24</v>
      </c>
      <c r="J544" s="9" t="str">
        <f>_xlfn.DISPIMG("ID_D19641F9A2074D40AF27D3A6CD3DED8D",1)</f>
        <v>=DISPIMG("ID_D19641F9A2074D40AF27D3A6CD3DED8D",1)</v>
      </c>
      <c r="K544" s="105">
        <v>46205</v>
      </c>
      <c r="L544" s="8" t="s">
        <v>728</v>
      </c>
    </row>
    <row r="545" spans="1:19">
      <c r="A545" s="6" t="s">
        <v>727</v>
      </c>
      <c r="B545" s="7">
        <v>46206</v>
      </c>
      <c r="D545" s="8" t="s">
        <v>106</v>
      </c>
      <c r="E545" s="9" t="s">
        <v>261</v>
      </c>
      <c r="F545" s="10">
        <v>12</v>
      </c>
      <c r="G545" s="10">
        <v>10</v>
      </c>
      <c r="H545" s="11">
        <f t="shared" si="53"/>
        <v>120</v>
      </c>
      <c r="I545" s="11" t="s">
        <v>24</v>
      </c>
      <c r="K545" s="105">
        <v>46205</v>
      </c>
      <c r="L545" s="8" t="s">
        <v>728</v>
      </c>
      <c r="M545" s="8"/>
    </row>
    <row r="546" spans="1:19">
      <c r="A546" s="6" t="s">
        <v>727</v>
      </c>
      <c r="B546" s="7">
        <v>46206</v>
      </c>
      <c r="D546" s="8" t="s">
        <v>106</v>
      </c>
      <c r="E546" s="9" t="s">
        <v>74</v>
      </c>
      <c r="F546" s="10">
        <v>12</v>
      </c>
      <c r="G546" s="10">
        <v>2</v>
      </c>
      <c r="H546" s="11">
        <f t="shared" si="53"/>
        <v>24</v>
      </c>
      <c r="I546" s="11" t="s">
        <v>24</v>
      </c>
      <c r="K546" s="105">
        <v>46205</v>
      </c>
      <c r="L546" s="8" t="s">
        <v>728</v>
      </c>
    </row>
    <row r="547" spans="1:19">
      <c r="A547" s="6" t="s">
        <v>727</v>
      </c>
      <c r="B547" s="7">
        <v>46206</v>
      </c>
      <c r="D547" s="8" t="s">
        <v>106</v>
      </c>
      <c r="E547" s="9" t="s">
        <v>76</v>
      </c>
      <c r="F547" s="10">
        <v>12</v>
      </c>
      <c r="G547" s="10">
        <v>3</v>
      </c>
      <c r="H547" s="11">
        <f t="shared" si="53"/>
        <v>36</v>
      </c>
      <c r="I547" s="11" t="s">
        <v>24</v>
      </c>
      <c r="K547" s="105">
        <v>46205</v>
      </c>
      <c r="L547" s="8" t="s">
        <v>728</v>
      </c>
    </row>
    <row r="548" spans="1:19">
      <c r="A548" s="6" t="s">
        <v>727</v>
      </c>
      <c r="B548" s="7">
        <v>46206</v>
      </c>
      <c r="D548" s="8" t="s">
        <v>106</v>
      </c>
      <c r="E548" s="9" t="s">
        <v>77</v>
      </c>
      <c r="F548" s="10">
        <v>12</v>
      </c>
      <c r="G548" s="10">
        <v>2</v>
      </c>
      <c r="H548" s="11">
        <f t="shared" si="53"/>
        <v>24</v>
      </c>
      <c r="I548" s="11" t="s">
        <v>24</v>
      </c>
      <c r="K548" s="105">
        <v>46205</v>
      </c>
      <c r="L548" s="8" t="s">
        <v>728</v>
      </c>
    </row>
    <row r="549" s="40" customFormat="1" ht="45" spans="1:19">
      <c r="A549" s="172" t="s">
        <v>729</v>
      </c>
      <c r="B549" s="173"/>
      <c r="C549" s="173"/>
      <c r="D549" s="174" t="s">
        <v>26</v>
      </c>
      <c r="E549" s="40" t="s">
        <v>730</v>
      </c>
      <c r="F549" s="40">
        <v>12</v>
      </c>
      <c r="G549" s="40">
        <v>10</v>
      </c>
      <c r="H549" s="175">
        <f t="shared" si="53"/>
        <v>120</v>
      </c>
      <c r="I549" s="175" t="s">
        <v>24</v>
      </c>
      <c r="K549" s="176">
        <v>46214</v>
      </c>
      <c r="L549" s="174" t="s">
        <v>635</v>
      </c>
      <c r="Q549" s="174"/>
      <c r="R549" s="174"/>
      <c r="S549" s="174"/>
    </row>
    <row r="550" spans="1:19">
      <c r="A550" s="6" t="s">
        <v>731</v>
      </c>
      <c r="B550" s="7">
        <v>46204</v>
      </c>
      <c r="D550" s="8" t="s">
        <v>185</v>
      </c>
      <c r="E550" s="9" t="s">
        <v>265</v>
      </c>
      <c r="F550" s="10">
        <v>12</v>
      </c>
      <c r="G550" s="10">
        <v>50</v>
      </c>
      <c r="H550" s="11">
        <f t="shared" si="53"/>
        <v>600</v>
      </c>
      <c r="I550" s="11" t="s">
        <v>24</v>
      </c>
    </row>
    <row r="551" spans="1:19">
      <c r="A551" s="6" t="s">
        <v>731</v>
      </c>
      <c r="B551" s="7">
        <v>46204</v>
      </c>
      <c r="D551" s="8" t="s">
        <v>185</v>
      </c>
      <c r="E551" s="9" t="s">
        <v>262</v>
      </c>
      <c r="F551" s="10">
        <v>12</v>
      </c>
      <c r="G551" s="10">
        <v>100</v>
      </c>
      <c r="H551" s="11">
        <f t="shared" si="53"/>
        <v>1200</v>
      </c>
      <c r="I551" s="11" t="s">
        <v>24</v>
      </c>
    </row>
    <row r="552" spans="1:19">
      <c r="A552" s="6" t="s">
        <v>731</v>
      </c>
      <c r="B552" s="7">
        <v>46204</v>
      </c>
      <c r="D552" s="8" t="s">
        <v>185</v>
      </c>
      <c r="E552" s="9" t="s">
        <v>77</v>
      </c>
      <c r="F552" s="10">
        <v>12</v>
      </c>
      <c r="G552" s="10">
        <v>28</v>
      </c>
      <c r="H552" s="11">
        <f t="shared" si="53"/>
        <v>336</v>
      </c>
      <c r="I552" s="11" t="s">
        <v>24</v>
      </c>
    </row>
    <row r="553" s="40" customFormat="1" ht="105" spans="1:19">
      <c r="A553" s="172" t="s">
        <v>732</v>
      </c>
      <c r="B553" s="173"/>
      <c r="C553" s="173"/>
      <c r="D553" s="174" t="s">
        <v>213</v>
      </c>
      <c r="E553" s="40" t="s">
        <v>510</v>
      </c>
      <c r="F553" s="40">
        <v>12</v>
      </c>
      <c r="G553" s="40">
        <v>10</v>
      </c>
      <c r="H553" s="175">
        <f t="shared" si="53"/>
        <v>120</v>
      </c>
      <c r="I553" s="175" t="s">
        <v>24</v>
      </c>
      <c r="J553" s="40" t="str">
        <f>_xlfn.DISPIMG("ID_443E24159C944E53B2EDD767993692AC",1)</f>
        <v>=DISPIMG("ID_443E24159C944E53B2EDD767993692AC",1)</v>
      </c>
      <c r="K553" s="176">
        <v>46212</v>
      </c>
      <c r="L553" s="174" t="s">
        <v>733</v>
      </c>
      <c r="Q553" s="174"/>
      <c r="R553" s="174"/>
      <c r="S553" s="174"/>
    </row>
    <row r="554" s="40" customFormat="1" ht="105" spans="1:19">
      <c r="A554" s="172" t="s">
        <v>732</v>
      </c>
      <c r="B554" s="173"/>
      <c r="C554" s="173"/>
      <c r="D554" s="174" t="s">
        <v>213</v>
      </c>
      <c r="E554" s="40" t="s">
        <v>511</v>
      </c>
      <c r="F554" s="40">
        <v>12</v>
      </c>
      <c r="G554" s="40">
        <v>10</v>
      </c>
      <c r="H554" s="175">
        <f t="shared" si="53"/>
        <v>120</v>
      </c>
      <c r="I554" s="175" t="s">
        <v>24</v>
      </c>
      <c r="J554" s="40" t="str">
        <f>_xlfn.DISPIMG("ID_FDFF642AAF584251976AB9CD359F3463",1)</f>
        <v>=DISPIMG("ID_FDFF642AAF584251976AB9CD359F3463",1)</v>
      </c>
      <c r="K554" s="176">
        <v>46212</v>
      </c>
      <c r="L554" s="174" t="s">
        <v>734</v>
      </c>
      <c r="Q554" s="174"/>
      <c r="R554" s="174"/>
      <c r="S554" s="174"/>
    </row>
    <row r="555" ht="103.35" spans="1:19">
      <c r="A555" s="6" t="s">
        <v>735</v>
      </c>
      <c r="B555" s="7">
        <v>46207</v>
      </c>
      <c r="D555" s="8" t="s">
        <v>145</v>
      </c>
      <c r="E555" s="9" t="s">
        <v>261</v>
      </c>
      <c r="F555" s="10"/>
      <c r="G555" s="10"/>
      <c r="H555" s="11">
        <v>49</v>
      </c>
      <c r="I555" s="11" t="s">
        <v>24</v>
      </c>
      <c r="J555" s="9" t="str">
        <f>_xlfn.DISPIMG("ID_CD43E87449D94B3A81299F65738B7946",1)</f>
        <v>=DISPIMG("ID_CD43E87449D94B3A81299F65738B7946",1)</v>
      </c>
      <c r="K555" s="105">
        <v>46206</v>
      </c>
      <c r="L555" s="8" t="s">
        <v>736</v>
      </c>
    </row>
    <row r="556" spans="1:19">
      <c r="A556" s="6" t="s">
        <v>737</v>
      </c>
      <c r="B556" s="7">
        <v>46206</v>
      </c>
      <c r="D556" s="8" t="s">
        <v>106</v>
      </c>
      <c r="E556" s="9" t="s">
        <v>261</v>
      </c>
      <c r="F556" s="10">
        <v>12</v>
      </c>
      <c r="G556" s="10">
        <v>2</v>
      </c>
      <c r="H556" s="11">
        <f t="shared" si="53"/>
        <v>24</v>
      </c>
      <c r="I556" s="11" t="s">
        <v>24</v>
      </c>
    </row>
    <row r="557" spans="1:19">
      <c r="A557" s="6" t="s">
        <v>737</v>
      </c>
      <c r="B557" s="7">
        <v>46206</v>
      </c>
      <c r="D557" s="8" t="s">
        <v>106</v>
      </c>
      <c r="E557" s="9" t="s">
        <v>76</v>
      </c>
      <c r="F557" s="10">
        <v>12</v>
      </c>
      <c r="G557" s="10">
        <v>4</v>
      </c>
      <c r="H557" s="11">
        <f t="shared" si="53"/>
        <v>48</v>
      </c>
      <c r="I557" s="11" t="s">
        <v>24</v>
      </c>
    </row>
    <row r="558" spans="1:19">
      <c r="A558" s="6" t="s">
        <v>737</v>
      </c>
      <c r="B558" s="7">
        <v>46206</v>
      </c>
      <c r="D558" s="8" t="s">
        <v>106</v>
      </c>
      <c r="E558" s="9" t="s">
        <v>261</v>
      </c>
      <c r="F558" s="10">
        <v>12</v>
      </c>
      <c r="G558" s="10">
        <v>30</v>
      </c>
      <c r="H558" s="11">
        <f t="shared" si="53"/>
        <v>360</v>
      </c>
      <c r="I558" s="11" t="s">
        <v>24</v>
      </c>
    </row>
    <row r="559" spans="1:19">
      <c r="A559" s="6" t="s">
        <v>738</v>
      </c>
      <c r="D559" s="8" t="s">
        <v>187</v>
      </c>
      <c r="E559" s="9" t="s">
        <v>262</v>
      </c>
      <c r="F559" s="10">
        <v>12</v>
      </c>
      <c r="G559" s="10">
        <v>20</v>
      </c>
      <c r="H559" s="11">
        <f t="shared" si="53"/>
        <v>240</v>
      </c>
      <c r="I559" s="11" t="s">
        <v>24</v>
      </c>
      <c r="L559" s="9"/>
    </row>
    <row r="560" spans="1:19">
      <c r="A560" s="6" t="s">
        <v>738</v>
      </c>
      <c r="D560" s="8" t="s">
        <v>187</v>
      </c>
      <c r="E560" s="9" t="s">
        <v>510</v>
      </c>
      <c r="F560" s="10">
        <v>12</v>
      </c>
      <c r="G560" s="10">
        <v>30</v>
      </c>
      <c r="H560" s="11">
        <f t="shared" si="53"/>
        <v>360</v>
      </c>
      <c r="I560" s="11" t="s">
        <v>24</v>
      </c>
      <c r="L560" s="9"/>
    </row>
    <row r="561" ht="60" spans="1:14">
      <c r="A561" s="6" t="s">
        <v>739</v>
      </c>
      <c r="B561" s="7">
        <v>46207</v>
      </c>
      <c r="D561" s="8" t="s">
        <v>740</v>
      </c>
      <c r="E561" s="9" t="s">
        <v>261</v>
      </c>
      <c r="F561" s="10">
        <v>12</v>
      </c>
      <c r="G561" s="10">
        <v>35</v>
      </c>
      <c r="H561" s="11">
        <f t="shared" si="53"/>
        <v>420</v>
      </c>
      <c r="I561" s="11" t="s">
        <v>24</v>
      </c>
      <c r="K561" s="9" t="s">
        <v>741</v>
      </c>
      <c r="L561" s="8" t="s">
        <v>742</v>
      </c>
    </row>
    <row r="562" spans="1:14">
      <c r="A562" s="6" t="s">
        <v>739</v>
      </c>
      <c r="B562" s="7">
        <v>46209</v>
      </c>
      <c r="D562" s="8" t="s">
        <v>740</v>
      </c>
      <c r="E562" s="9" t="s">
        <v>261</v>
      </c>
      <c r="F562" s="10">
        <v>12</v>
      </c>
      <c r="G562" s="10">
        <v>25</v>
      </c>
      <c r="H562" s="11">
        <f t="shared" si="53"/>
        <v>300</v>
      </c>
      <c r="I562" s="11" t="s">
        <v>24</v>
      </c>
      <c r="K562" s="9" t="s">
        <v>741</v>
      </c>
      <c r="L562" s="9"/>
    </row>
    <row r="563" spans="1:14">
      <c r="A563" s="6" t="s">
        <v>739</v>
      </c>
      <c r="B563" s="7">
        <v>46207</v>
      </c>
      <c r="D563" s="8" t="s">
        <v>740</v>
      </c>
      <c r="E563" s="9" t="s">
        <v>265</v>
      </c>
      <c r="F563" s="10">
        <v>12</v>
      </c>
      <c r="G563" s="10">
        <v>25</v>
      </c>
      <c r="H563" s="11">
        <f t="shared" si="53"/>
        <v>300</v>
      </c>
      <c r="I563" s="11" t="s">
        <v>24</v>
      </c>
      <c r="K563" s="9" t="s">
        <v>741</v>
      </c>
      <c r="L563" s="9" t="s">
        <v>743</v>
      </c>
    </row>
    <row r="564" spans="1:14">
      <c r="A564" s="6" t="s">
        <v>739</v>
      </c>
      <c r="B564" s="7">
        <v>46207</v>
      </c>
      <c r="D564" s="8" t="s">
        <v>740</v>
      </c>
      <c r="E564" s="9" t="s">
        <v>642</v>
      </c>
      <c r="F564" s="10">
        <v>12</v>
      </c>
      <c r="G564" s="10">
        <v>25</v>
      </c>
      <c r="H564" s="11">
        <f t="shared" si="53"/>
        <v>300</v>
      </c>
      <c r="I564" s="11" t="s">
        <v>24</v>
      </c>
      <c r="K564" s="9" t="s">
        <v>741</v>
      </c>
      <c r="L564" s="9" t="s">
        <v>744</v>
      </c>
    </row>
    <row r="565" spans="1:14">
      <c r="A565" s="6" t="s">
        <v>745</v>
      </c>
      <c r="B565" s="7">
        <v>46207</v>
      </c>
      <c r="D565" s="8" t="s">
        <v>185</v>
      </c>
      <c r="E565" s="9" t="s">
        <v>261</v>
      </c>
      <c r="F565" s="10">
        <v>12</v>
      </c>
      <c r="G565" s="10">
        <v>100</v>
      </c>
      <c r="H565" s="11">
        <f t="shared" ref="H565:H575" si="54">F565*G565</f>
        <v>1200</v>
      </c>
      <c r="I565" s="11" t="s">
        <v>24</v>
      </c>
    </row>
    <row r="566" spans="1:14">
      <c r="A566" s="6" t="s">
        <v>746</v>
      </c>
      <c r="B566" s="7">
        <v>46208</v>
      </c>
      <c r="D566" s="8" t="s">
        <v>145</v>
      </c>
      <c r="E566" s="9" t="s">
        <v>77</v>
      </c>
      <c r="F566" s="10"/>
      <c r="G566" s="10">
        <v>0</v>
      </c>
      <c r="H566" s="11">
        <v>115</v>
      </c>
      <c r="I566" s="11" t="s">
        <v>24</v>
      </c>
      <c r="L566" s="8" t="s">
        <v>747</v>
      </c>
    </row>
    <row r="567" ht="165" spans="1:14">
      <c r="A567" s="6" t="s">
        <v>748</v>
      </c>
      <c r="D567" s="8" t="s">
        <v>587</v>
      </c>
      <c r="E567" s="9" t="s">
        <v>262</v>
      </c>
      <c r="F567" s="9">
        <v>12</v>
      </c>
      <c r="G567" s="9">
        <v>45</v>
      </c>
      <c r="H567" s="9">
        <f t="shared" si="54"/>
        <v>540</v>
      </c>
      <c r="I567" s="11" t="s">
        <v>24</v>
      </c>
      <c r="J567" s="9" t="str">
        <f>_xlfn.DISPIMG("ID_A7B6A0D0859E4879949D8D87F6FA9458",1)</f>
        <v>=DISPIMG("ID_A7B6A0D0859E4879949D8D87F6FA9458",1)</v>
      </c>
      <c r="K567" s="105">
        <v>46226</v>
      </c>
      <c r="L567" s="8" t="s">
        <v>749</v>
      </c>
      <c r="M567" s="9" t="str">
        <f>_xlfn.DISPIMG("ID_A58872EF21774B1784899C377603A99F",1)</f>
        <v>=DISPIMG("ID_A58872EF21774B1784899C377603A99F",1)</v>
      </c>
      <c r="N567" s="8" t="s">
        <v>750</v>
      </c>
    </row>
    <row r="568" ht="165" spans="1:14">
      <c r="A568" s="6" t="s">
        <v>748</v>
      </c>
      <c r="D568" s="8" t="s">
        <v>587</v>
      </c>
      <c r="E568" s="9" t="s">
        <v>261</v>
      </c>
      <c r="F568" s="10">
        <v>12</v>
      </c>
      <c r="G568" s="10">
        <v>45</v>
      </c>
      <c r="H568" s="11">
        <f t="shared" si="54"/>
        <v>540</v>
      </c>
      <c r="I568" s="11" t="s">
        <v>24</v>
      </c>
      <c r="J568" s="9" t="str">
        <f>_xlfn.DISPIMG("ID_30B9D3D7A63A4D7AA30C6DDF33E08407",1)</f>
        <v>=DISPIMG("ID_30B9D3D7A63A4D7AA30C6DDF33E08407",1)</v>
      </c>
      <c r="K568" s="105">
        <v>46226</v>
      </c>
      <c r="L568" s="8" t="s">
        <v>749</v>
      </c>
      <c r="N568" s="8" t="s">
        <v>750</v>
      </c>
    </row>
    <row r="569" ht="165" spans="1:14">
      <c r="A569" s="6" t="s">
        <v>748</v>
      </c>
      <c r="D569" s="8" t="s">
        <v>587</v>
      </c>
      <c r="E569" s="9" t="s">
        <v>730</v>
      </c>
      <c r="F569" s="10">
        <v>12</v>
      </c>
      <c r="G569" s="10">
        <v>10</v>
      </c>
      <c r="H569" s="11">
        <f t="shared" si="54"/>
        <v>120</v>
      </c>
      <c r="I569" s="11" t="s">
        <v>24</v>
      </c>
      <c r="J569" s="9" t="str">
        <f>_xlfn.DISPIMG("ID_128174076D66436C8A08793A303B7779",1)</f>
        <v>=DISPIMG("ID_128174076D66436C8A08793A303B7779",1)</v>
      </c>
      <c r="K569" s="105">
        <v>46226</v>
      </c>
      <c r="L569" s="8" t="s">
        <v>749</v>
      </c>
      <c r="N569" s="8" t="s">
        <v>751</v>
      </c>
    </row>
    <row r="570" ht="65.25" spans="1:14">
      <c r="A570" s="6" t="s">
        <v>752</v>
      </c>
      <c r="B570" s="7" t="s">
        <v>234</v>
      </c>
      <c r="D570" s="8" t="s">
        <v>575</v>
      </c>
      <c r="E570" s="9" t="s">
        <v>118</v>
      </c>
      <c r="F570" s="10">
        <v>12</v>
      </c>
      <c r="G570" s="10">
        <v>10</v>
      </c>
      <c r="H570" s="11">
        <f t="shared" si="54"/>
        <v>120</v>
      </c>
      <c r="I570" s="11" t="s">
        <v>24</v>
      </c>
      <c r="J570" s="9" t="str">
        <f>_xlfn.DISPIMG("ID_A7E3595DF2AA4BD3B89C5CF485E90E59",1)</f>
        <v>=DISPIMG("ID_A7E3595DF2AA4BD3B89C5CF485E90E59",1)</v>
      </c>
      <c r="K570" s="105">
        <v>46223</v>
      </c>
      <c r="L570" s="8" t="s">
        <v>182</v>
      </c>
    </row>
    <row r="571" ht="49.5" spans="1:14">
      <c r="A571" s="6" t="s">
        <v>752</v>
      </c>
      <c r="D571" s="8" t="s">
        <v>575</v>
      </c>
      <c r="E571" s="9" t="s">
        <v>261</v>
      </c>
      <c r="F571" s="10">
        <v>12</v>
      </c>
      <c r="G571" s="10">
        <v>11</v>
      </c>
      <c r="H571" s="11">
        <f t="shared" si="54"/>
        <v>132</v>
      </c>
      <c r="I571" s="11" t="s">
        <v>24</v>
      </c>
      <c r="J571" s="9" t="str">
        <f>_xlfn.DISPIMG("ID_D7D2698E27504F8B8DD207D745BD0519",1)</f>
        <v>=DISPIMG("ID_D7D2698E27504F8B8DD207D745BD0519",1)</v>
      </c>
      <c r="K571" s="105">
        <v>46223</v>
      </c>
      <c r="L571" s="8" t="s">
        <v>182</v>
      </c>
    </row>
    <row r="572" ht="49.5" spans="1:14">
      <c r="A572" s="6" t="s">
        <v>752</v>
      </c>
      <c r="D572" s="8" t="s">
        <v>575</v>
      </c>
      <c r="E572" s="9" t="s">
        <v>301</v>
      </c>
      <c r="F572" s="10">
        <v>12</v>
      </c>
      <c r="G572" s="10">
        <v>4</v>
      </c>
      <c r="H572" s="11">
        <f t="shared" si="54"/>
        <v>48</v>
      </c>
      <c r="I572" s="11" t="s">
        <v>24</v>
      </c>
      <c r="J572" s="9" t="str">
        <f>_xlfn.DISPIMG("ID_1CFCE23282C6418F9A8D555284EA7C27",1)</f>
        <v>=DISPIMG("ID_1CFCE23282C6418F9A8D555284EA7C27",1)</v>
      </c>
      <c r="K572" s="105">
        <v>46223</v>
      </c>
      <c r="L572" s="8" t="s">
        <v>753</v>
      </c>
    </row>
    <row r="573" ht="68.25" spans="1:14">
      <c r="A573" s="6" t="s">
        <v>752</v>
      </c>
      <c r="D573" s="8" t="s">
        <v>575</v>
      </c>
      <c r="E573" s="9" t="s">
        <v>265</v>
      </c>
      <c r="F573" s="10">
        <v>12</v>
      </c>
      <c r="G573" s="10">
        <v>3</v>
      </c>
      <c r="H573" s="11">
        <f t="shared" si="54"/>
        <v>36</v>
      </c>
      <c r="I573" s="11" t="s">
        <v>24</v>
      </c>
      <c r="J573" s="9" t="str">
        <f>_xlfn.DISPIMG("ID_70611BBF604B494E9193A4E756926BE7",1)</f>
        <v>=DISPIMG("ID_70611BBF604B494E9193A4E756926BE7",1)</v>
      </c>
      <c r="K573" s="105">
        <v>46223</v>
      </c>
      <c r="L573" s="8" t="s">
        <v>182</v>
      </c>
    </row>
    <row r="574" ht="67.5" spans="1:14">
      <c r="A574" s="6" t="s">
        <v>754</v>
      </c>
      <c r="D574" s="8" t="s">
        <v>755</v>
      </c>
      <c r="E574" s="9" t="s">
        <v>262</v>
      </c>
      <c r="F574" s="10">
        <v>12</v>
      </c>
      <c r="G574" s="10">
        <v>6</v>
      </c>
      <c r="H574" s="11">
        <f t="shared" si="54"/>
        <v>72</v>
      </c>
      <c r="I574" s="11" t="s">
        <v>24</v>
      </c>
      <c r="J574" s="9" t="str">
        <f>_xlfn.DISPIMG("ID_683A987E47BF40A9A1C139CCE37AEE5E",1)</f>
        <v>=DISPIMG("ID_683A987E47BF40A9A1C139CCE37AEE5E",1)</v>
      </c>
      <c r="K574" s="105">
        <v>46223</v>
      </c>
      <c r="L574" s="8" t="s">
        <v>112</v>
      </c>
    </row>
    <row r="575" ht="49.5" spans="1:14">
      <c r="A575" s="6" t="s">
        <v>754</v>
      </c>
      <c r="D575" s="8" t="s">
        <v>755</v>
      </c>
      <c r="E575" s="9" t="s">
        <v>261</v>
      </c>
      <c r="F575" s="10">
        <v>12</v>
      </c>
      <c r="G575" s="10">
        <v>8</v>
      </c>
      <c r="H575" s="11">
        <f t="shared" si="54"/>
        <v>96</v>
      </c>
      <c r="I575" s="11" t="s">
        <v>24</v>
      </c>
      <c r="J575" s="9" t="str">
        <f>_xlfn.DISPIMG("ID_598B845AD43E45B5A5427FB5B40E4CA8",1)</f>
        <v>=DISPIMG("ID_598B845AD43E45B5A5427FB5B40E4CA8",1)</v>
      </c>
      <c r="K575" s="105">
        <v>46223</v>
      </c>
      <c r="L575" s="8" t="s">
        <v>112</v>
      </c>
    </row>
    <row r="576" ht="120.9" spans="1:14">
      <c r="A576" s="6" t="s">
        <v>756</v>
      </c>
      <c r="B576" s="7">
        <v>46212</v>
      </c>
      <c r="D576" s="8" t="s">
        <v>145</v>
      </c>
      <c r="E576" s="9" t="s">
        <v>118</v>
      </c>
      <c r="F576" s="10"/>
      <c r="G576" s="10"/>
      <c r="H576" s="11">
        <v>50</v>
      </c>
      <c r="I576" s="11" t="s">
        <v>24</v>
      </c>
      <c r="J576" s="9" t="str">
        <f>_xlfn.DISPIMG("ID_2A194A64C7BF4EDBBF362CD56292B678",1)</f>
        <v>=DISPIMG("ID_2A194A64C7BF4EDBBF362CD56292B678",1)</v>
      </c>
      <c r="K576" s="105">
        <v>46211</v>
      </c>
    </row>
    <row r="577" ht="49.5" spans="1:21">
      <c r="A577" s="6" t="s">
        <v>757</v>
      </c>
      <c r="D577" s="8" t="s">
        <v>625</v>
      </c>
      <c r="E577" s="9" t="s">
        <v>261</v>
      </c>
      <c r="F577" s="10">
        <v>12</v>
      </c>
      <c r="G577" s="10">
        <v>40</v>
      </c>
      <c r="H577" s="11">
        <f t="shared" ref="H576:H606" si="55">F577*G577</f>
        <v>480</v>
      </c>
      <c r="I577" s="11" t="s">
        <v>24</v>
      </c>
      <c r="J577" s="9" t="str">
        <f>_xlfn.DISPIMG("ID_2FF9169F8DEB4523B122A3605FF16085",1)</f>
        <v>=DISPIMG("ID_2FF9169F8DEB4523B122A3605FF16085",1)</v>
      </c>
      <c r="K577" s="105">
        <v>46227</v>
      </c>
      <c r="L577" s="8" t="s">
        <v>758</v>
      </c>
    </row>
    <row r="578" ht="49.5" spans="1:21">
      <c r="A578" s="6" t="s">
        <v>759</v>
      </c>
      <c r="D578" s="8" t="s">
        <v>523</v>
      </c>
      <c r="E578" s="9" t="s">
        <v>261</v>
      </c>
      <c r="F578" s="10">
        <v>12</v>
      </c>
      <c r="G578" s="10">
        <v>25</v>
      </c>
      <c r="H578" s="11">
        <f t="shared" si="55"/>
        <v>300</v>
      </c>
      <c r="I578" s="11" t="s">
        <v>24</v>
      </c>
      <c r="J578" s="9" t="str">
        <f>_xlfn.DISPIMG("ID_51E9F09889A14507B0337261C708982D",1)</f>
        <v>=DISPIMG("ID_51E9F09889A14507B0337261C708982D",1)</v>
      </c>
      <c r="K578" s="105">
        <v>46231</v>
      </c>
      <c r="L578" s="8" t="s">
        <v>158</v>
      </c>
      <c r="Q578" s="8" t="s">
        <v>705</v>
      </c>
    </row>
    <row r="579" s="40" customFormat="1" ht="378.75" spans="1:21">
      <c r="A579" s="172" t="s">
        <v>760</v>
      </c>
      <c r="B579" s="173"/>
      <c r="C579" s="173"/>
      <c r="D579" s="174" t="s">
        <v>106</v>
      </c>
      <c r="E579" s="40" t="s">
        <v>261</v>
      </c>
      <c r="F579" s="40">
        <v>12</v>
      </c>
      <c r="G579" s="40">
        <v>10</v>
      </c>
      <c r="H579" s="175">
        <f t="shared" si="55"/>
        <v>120</v>
      </c>
      <c r="I579" s="175" t="s">
        <v>24</v>
      </c>
      <c r="K579" s="176">
        <v>46215</v>
      </c>
      <c r="L579" s="174" t="s">
        <v>761</v>
      </c>
      <c r="M579" s="40" t="str">
        <f>_xlfn.DISPIMG("ID_B002A403AEBD476C80292B9B0EA3D88D",1)</f>
        <v>=DISPIMG("ID_B002A403AEBD476C80292B9B0EA3D88D",1)</v>
      </c>
      <c r="Q579" s="174" t="s">
        <v>705</v>
      </c>
      <c r="R579" s="174"/>
      <c r="S579" s="174"/>
    </row>
    <row r="580" s="40" customFormat="1" ht="108.95" spans="1:21">
      <c r="A580" s="172" t="s">
        <v>762</v>
      </c>
      <c r="B580" s="173"/>
      <c r="C580" s="173"/>
      <c r="D580" s="174" t="s">
        <v>106</v>
      </c>
      <c r="E580" s="40" t="s">
        <v>261</v>
      </c>
      <c r="F580" s="40">
        <v>12</v>
      </c>
      <c r="G580" s="40">
        <v>25</v>
      </c>
      <c r="H580" s="175">
        <f t="shared" si="55"/>
        <v>300</v>
      </c>
      <c r="I580" s="175" t="s">
        <v>24</v>
      </c>
      <c r="K580" s="176">
        <v>46215</v>
      </c>
      <c r="L580" s="174" t="s">
        <v>763</v>
      </c>
      <c r="M580" s="179" t="str">
        <f>_xlfn.DISPIMG("ID_298B57F7D3834472B066DDE758C11F01",1)</f>
        <v>=DISPIMG("ID_298B57F7D3834472B066DDE758C11F01",1)</v>
      </c>
      <c r="Q580" s="174" t="s">
        <v>705</v>
      </c>
      <c r="R580" s="174"/>
      <c r="S580" s="174"/>
    </row>
    <row r="581" s="40" customFormat="1" ht="248.35" spans="1:21">
      <c r="A581" s="172" t="s">
        <v>762</v>
      </c>
      <c r="B581" s="173"/>
      <c r="C581" s="173"/>
      <c r="D581" s="174" t="s">
        <v>106</v>
      </c>
      <c r="E581" s="40" t="s">
        <v>764</v>
      </c>
      <c r="F581" s="40">
        <v>12</v>
      </c>
      <c r="G581" s="40">
        <v>25</v>
      </c>
      <c r="H581" s="175">
        <f t="shared" si="55"/>
        <v>300</v>
      </c>
      <c r="I581" s="175" t="s">
        <v>24</v>
      </c>
      <c r="K581" s="176">
        <v>46215</v>
      </c>
      <c r="L581" s="174" t="s">
        <v>763</v>
      </c>
      <c r="M581" s="174" t="str">
        <f>_xlfn.DISPIMG("ID_ADC8446D8EAB4EF0AA0481080D2B3D1C",1)</f>
        <v>=DISPIMG("ID_ADC8446D8EAB4EF0AA0481080D2B3D1C",1)</v>
      </c>
      <c r="Q581" s="174" t="s">
        <v>705</v>
      </c>
      <c r="R581" s="174"/>
      <c r="S581" s="174"/>
    </row>
    <row r="582" ht="49.5" spans="1:21">
      <c r="A582" s="6" t="s">
        <v>765</v>
      </c>
      <c r="D582" s="8" t="s">
        <v>766</v>
      </c>
      <c r="E582" s="9" t="s">
        <v>261</v>
      </c>
      <c r="F582" s="10">
        <v>12</v>
      </c>
      <c r="G582" s="10">
        <v>30</v>
      </c>
      <c r="H582" s="11">
        <f t="shared" si="55"/>
        <v>360</v>
      </c>
      <c r="I582" s="11" t="s">
        <v>24</v>
      </c>
      <c r="J582" s="9" t="str">
        <f>_xlfn.DISPIMG("ID_11EB52AC6A5647B6A2DC39463AF6F12F",1)</f>
        <v>=DISPIMG("ID_11EB52AC6A5647B6A2DC39463AF6F12F",1)</v>
      </c>
      <c r="L582" s="8" t="s">
        <v>767</v>
      </c>
    </row>
    <row r="583" ht="63" spans="1:21">
      <c r="A583" s="6" t="s">
        <v>765</v>
      </c>
      <c r="D583" s="8" t="s">
        <v>766</v>
      </c>
      <c r="E583" s="9" t="s">
        <v>730</v>
      </c>
      <c r="F583" s="10">
        <v>12</v>
      </c>
      <c r="G583" s="10">
        <v>15</v>
      </c>
      <c r="H583" s="11">
        <f t="shared" si="55"/>
        <v>180</v>
      </c>
      <c r="I583" s="11" t="s">
        <v>24</v>
      </c>
      <c r="J583" s="9" t="str">
        <f>_xlfn.DISPIMG("ID_ABEA2B9623984BDCB12390EDD768D803",1)</f>
        <v>=DISPIMG("ID_ABEA2B9623984BDCB12390EDD768D803",1)</v>
      </c>
      <c r="L583" s="8" t="s">
        <v>767</v>
      </c>
    </row>
    <row r="584" ht="68.25" spans="1:21">
      <c r="A584" s="6" t="s">
        <v>765</v>
      </c>
      <c r="D584" s="8" t="s">
        <v>766</v>
      </c>
      <c r="E584" s="9" t="s">
        <v>642</v>
      </c>
      <c r="F584" s="10">
        <v>12</v>
      </c>
      <c r="G584" s="10">
        <v>30</v>
      </c>
      <c r="H584" s="11">
        <f t="shared" si="55"/>
        <v>360</v>
      </c>
      <c r="I584" s="11" t="s">
        <v>24</v>
      </c>
      <c r="J584" s="9" t="str">
        <f>_xlfn.DISPIMG("ID_A7AFC0C2B9B84DBC939AFD0FC80ED7D9",1)</f>
        <v>=DISPIMG("ID_A7AFC0C2B9B84DBC939AFD0FC80ED7D9",1)</v>
      </c>
      <c r="L584" s="8" t="s">
        <v>767</v>
      </c>
    </row>
    <row r="585" customFormat="1" ht="66.75" spans="1:21">
      <c r="A585" s="6" t="s">
        <v>765</v>
      </c>
      <c r="B585" s="7"/>
      <c r="C585" s="7"/>
      <c r="D585" s="8" t="s">
        <v>766</v>
      </c>
      <c r="E585" s="9" t="s">
        <v>511</v>
      </c>
      <c r="F585" s="10">
        <v>12</v>
      </c>
      <c r="G585" s="10">
        <v>25</v>
      </c>
      <c r="H585" s="11">
        <f t="shared" si="55"/>
        <v>300</v>
      </c>
      <c r="I585" s="11" t="s">
        <v>24</v>
      </c>
      <c r="J585" s="9" t="str">
        <f>_xlfn.DISPIMG("ID_24A79615C27D4FB8B592E3BA7875DAF6",1)</f>
        <v>=DISPIMG("ID_24A79615C27D4FB8B592E3BA7875DAF6",1)</v>
      </c>
      <c r="K585" s="9"/>
      <c r="L585" s="8" t="s">
        <v>767</v>
      </c>
      <c r="M585" s="9"/>
      <c r="N585" s="9"/>
      <c r="O585" s="9"/>
      <c r="P585" s="9"/>
      <c r="Q585" s="8"/>
      <c r="R585" s="8"/>
      <c r="S585" s="8"/>
      <c r="T585" s="9"/>
      <c r="U585" s="9"/>
    </row>
    <row r="586" s="40" customFormat="1" ht="68.25" spans="1:21">
      <c r="A586" s="172" t="s">
        <v>768</v>
      </c>
      <c r="B586" s="173"/>
      <c r="C586" s="173"/>
      <c r="D586" s="174" t="s">
        <v>769</v>
      </c>
      <c r="E586" s="40" t="s">
        <v>642</v>
      </c>
      <c r="F586" s="40">
        <v>12</v>
      </c>
      <c r="G586" s="40">
        <v>10</v>
      </c>
      <c r="H586" s="175">
        <f t="shared" si="55"/>
        <v>120</v>
      </c>
      <c r="I586" s="175" t="s">
        <v>24</v>
      </c>
      <c r="J586" s="40" t="str">
        <f>_xlfn.DISPIMG("ID_38AAE1187653497A85CB54EF6C8B1474",1)</f>
        <v>=DISPIMG("ID_38AAE1187653497A85CB54EF6C8B1474",1)</v>
      </c>
      <c r="K586" s="176">
        <v>46215</v>
      </c>
      <c r="L586" s="174" t="s">
        <v>112</v>
      </c>
      <c r="Q586" s="174"/>
      <c r="R586" s="174"/>
      <c r="S586" s="174"/>
    </row>
    <row r="587" s="40" customFormat="1" ht="68.25" spans="1:21">
      <c r="A587" s="172" t="s">
        <v>768</v>
      </c>
      <c r="B587" s="173"/>
      <c r="C587" s="173"/>
      <c r="D587" s="174" t="s">
        <v>769</v>
      </c>
      <c r="E587" s="40" t="s">
        <v>285</v>
      </c>
      <c r="F587" s="40">
        <v>12</v>
      </c>
      <c r="G587" s="40">
        <v>10</v>
      </c>
      <c r="H587" s="175">
        <f t="shared" si="55"/>
        <v>120</v>
      </c>
      <c r="I587" s="175" t="s">
        <v>24</v>
      </c>
      <c r="J587" s="40" t="str">
        <f>_xlfn.DISPIMG("ID_0FC42B358D474661965C0A7C4B6BD3CF",1)</f>
        <v>=DISPIMG("ID_0FC42B358D474661965C0A7C4B6BD3CF",1)</v>
      </c>
      <c r="K587" s="176">
        <v>46215</v>
      </c>
      <c r="L587" s="174" t="s">
        <v>112</v>
      </c>
      <c r="Q587" s="174"/>
      <c r="R587" s="174"/>
      <c r="S587" s="174"/>
    </row>
    <row r="588" ht="124.85" spans="1:21">
      <c r="A588" s="6" t="s">
        <v>770</v>
      </c>
      <c r="D588" s="8" t="s">
        <v>145</v>
      </c>
      <c r="E588" s="9" t="s">
        <v>265</v>
      </c>
      <c r="F588" s="10">
        <v>12</v>
      </c>
      <c r="G588" s="10">
        <v>50</v>
      </c>
      <c r="H588" s="11">
        <f t="shared" si="55"/>
        <v>600</v>
      </c>
      <c r="I588" s="11" t="s">
        <v>24</v>
      </c>
      <c r="J588" s="9" t="str">
        <f>_xlfn.DISPIMG("ID_3B23FF4C6792413BBCC2E4234A4626E7",1)</f>
        <v>=DISPIMG("ID_3B23FF4C6792413BBCC2E4234A4626E7",1)</v>
      </c>
      <c r="K588" s="105">
        <v>46218</v>
      </c>
      <c r="L588" s="8" t="s">
        <v>771</v>
      </c>
    </row>
    <row r="589" ht="195.05" spans="1:21">
      <c r="A589" s="6" t="s">
        <v>772</v>
      </c>
      <c r="D589" s="8" t="s">
        <v>106</v>
      </c>
      <c r="E589" s="9" t="s">
        <v>261</v>
      </c>
      <c r="F589" s="10">
        <v>12</v>
      </c>
      <c r="G589" s="10">
        <v>20</v>
      </c>
      <c r="H589" s="11">
        <f t="shared" si="55"/>
        <v>240</v>
      </c>
      <c r="I589" s="11" t="s">
        <v>24</v>
      </c>
      <c r="J589" s="9" t="str">
        <f>_xlfn.DISPIMG("ID_11EB52AC6A5647B6A2DC39463AF6F12F",1)</f>
        <v>=DISPIMG("ID_11EB52AC6A5647B6A2DC39463AF6F12F",1)</v>
      </c>
      <c r="K589" s="105">
        <v>46226</v>
      </c>
      <c r="L589" s="8" t="s">
        <v>773</v>
      </c>
      <c r="M589" s="9" t="str">
        <f>_xlfn.DISPIMG("ID_298FF282849F4EDAA0AFE80F694C5D49",1)</f>
        <v>=DISPIMG("ID_298FF282849F4EDAA0AFE80F694C5D49",1)</v>
      </c>
    </row>
    <row r="590" ht="65.25" spans="1:21">
      <c r="A590" s="6" t="s">
        <v>774</v>
      </c>
      <c r="D590" s="8" t="s">
        <v>775</v>
      </c>
      <c r="E590" s="9" t="s">
        <v>776</v>
      </c>
      <c r="F590" s="10">
        <v>12</v>
      </c>
      <c r="G590" s="10">
        <v>10</v>
      </c>
      <c r="H590" s="11">
        <f t="shared" si="55"/>
        <v>120</v>
      </c>
      <c r="I590" s="11" t="s">
        <v>24</v>
      </c>
      <c r="J590" s="9" t="str">
        <f>_xlfn.DISPIMG("ID_15FCF7B55A4B45A98778A366519AAA9A",1)</f>
        <v>=DISPIMG("ID_15FCF7B55A4B45A98778A366519AAA9A",1)</v>
      </c>
      <c r="L590" s="8" t="s">
        <v>777</v>
      </c>
    </row>
    <row r="591" ht="49.5" spans="1:21">
      <c r="A591" s="6" t="s">
        <v>778</v>
      </c>
      <c r="D591" s="8" t="s">
        <v>779</v>
      </c>
      <c r="E591" s="9" t="s">
        <v>261</v>
      </c>
      <c r="F591" s="10">
        <v>12</v>
      </c>
      <c r="G591" s="10">
        <v>80</v>
      </c>
      <c r="H591" s="11">
        <f t="shared" si="55"/>
        <v>960</v>
      </c>
      <c r="I591" s="11" t="s">
        <v>24</v>
      </c>
      <c r="J591" s="9" t="str">
        <f>_xlfn.DISPIMG("ID_E89306C48AAD4B00AC7376CB7547CEBD",1)</f>
        <v>=DISPIMG("ID_E89306C48AAD4B00AC7376CB7547CEBD",1)</v>
      </c>
      <c r="K591" s="105">
        <v>46234</v>
      </c>
      <c r="L591" s="8" t="s">
        <v>780</v>
      </c>
    </row>
    <row r="592" ht="65.25" spans="1:21">
      <c r="A592" s="6" t="s">
        <v>778</v>
      </c>
      <c r="D592" s="8" t="s">
        <v>779</v>
      </c>
      <c r="E592" s="9" t="s">
        <v>781</v>
      </c>
      <c r="F592" s="10">
        <v>12</v>
      </c>
      <c r="G592" s="10">
        <v>50</v>
      </c>
      <c r="H592" s="11">
        <f t="shared" si="55"/>
        <v>600</v>
      </c>
      <c r="I592" s="11" t="s">
        <v>24</v>
      </c>
      <c r="J592" s="9" t="str">
        <f>_xlfn.DISPIMG("ID_4E7F20C87E0643F59B206B4B692EDAC9",1)</f>
        <v>=DISPIMG("ID_4E7F20C87E0643F59B206B4B692EDAC9",1)</v>
      </c>
      <c r="K592" s="105">
        <v>46234</v>
      </c>
      <c r="L592" s="8" t="s">
        <v>782</v>
      </c>
    </row>
    <row r="593" ht="68.25" spans="1:12">
      <c r="A593" s="6" t="s">
        <v>778</v>
      </c>
      <c r="D593" s="8" t="s">
        <v>779</v>
      </c>
      <c r="E593" s="9" t="s">
        <v>642</v>
      </c>
      <c r="F593" s="10">
        <v>12</v>
      </c>
      <c r="G593" s="10">
        <v>30</v>
      </c>
      <c r="H593" s="11">
        <f t="shared" si="55"/>
        <v>360</v>
      </c>
      <c r="I593" s="11" t="s">
        <v>24</v>
      </c>
      <c r="J593" s="9" t="str">
        <f>_xlfn.DISPIMG("ID_171320422BF44B8FA2B2E0977D6E0810",1)</f>
        <v>=DISPIMG("ID_171320422BF44B8FA2B2E0977D6E0810",1)</v>
      </c>
      <c r="K593" s="105">
        <v>46234</v>
      </c>
      <c r="L593" s="8" t="s">
        <v>780</v>
      </c>
    </row>
    <row r="594" ht="68.25" spans="1:12">
      <c r="A594" s="6" t="s">
        <v>783</v>
      </c>
      <c r="D594" s="8" t="s">
        <v>581</v>
      </c>
      <c r="E594" s="9" t="s">
        <v>642</v>
      </c>
      <c r="F594" s="10">
        <v>12</v>
      </c>
      <c r="G594" s="10">
        <v>6</v>
      </c>
      <c r="H594" s="11">
        <f t="shared" si="55"/>
        <v>72</v>
      </c>
      <c r="I594" s="11" t="s">
        <v>24</v>
      </c>
      <c r="J594" s="9" t="str">
        <f>_xlfn.DISPIMG("ID_79F4FBDF96604D3693DFA97E3C60C7DA",1)</f>
        <v>=DISPIMG("ID_79F4FBDF96604D3693DFA97E3C60C7DA",1)</v>
      </c>
      <c r="K594" s="105">
        <v>46234</v>
      </c>
      <c r="L594" s="8" t="s">
        <v>112</v>
      </c>
    </row>
    <row r="595" ht="67.5" spans="1:12">
      <c r="A595" s="6" t="s">
        <v>784</v>
      </c>
      <c r="D595" s="8" t="s">
        <v>785</v>
      </c>
      <c r="E595" s="9" t="s">
        <v>262</v>
      </c>
      <c r="F595" s="10">
        <v>12</v>
      </c>
      <c r="G595" s="10">
        <v>5</v>
      </c>
      <c r="H595" s="11">
        <f t="shared" si="55"/>
        <v>60</v>
      </c>
      <c r="I595" s="11" t="s">
        <v>24</v>
      </c>
      <c r="J595" s="9" t="str">
        <f>_xlfn.DISPIMG("ID_69756994C33D429B94C604DDB04AD4AA",1)</f>
        <v>=DISPIMG("ID_69756994C33D429B94C604DDB04AD4AA",1)</v>
      </c>
      <c r="L595" s="9" t="s">
        <v>786</v>
      </c>
    </row>
    <row r="596" ht="49.5" spans="1:12">
      <c r="A596" s="6" t="s">
        <v>784</v>
      </c>
      <c r="D596" s="8" t="s">
        <v>785</v>
      </c>
      <c r="E596" s="9" t="s">
        <v>261</v>
      </c>
      <c r="F596" s="10">
        <v>12</v>
      </c>
      <c r="G596" s="10">
        <v>5</v>
      </c>
      <c r="H596" s="11">
        <f t="shared" si="55"/>
        <v>60</v>
      </c>
      <c r="I596" s="11" t="s">
        <v>24</v>
      </c>
      <c r="J596" s="9" t="str">
        <f>_xlfn.DISPIMG("ID_117EA729649344C28240986C29E61B49",1)</f>
        <v>=DISPIMG("ID_117EA729649344C28240986C29E61B49",1)</v>
      </c>
      <c r="L596" s="9" t="s">
        <v>786</v>
      </c>
    </row>
    <row r="597" ht="68.25" spans="1:12">
      <c r="A597" s="6" t="s">
        <v>784</v>
      </c>
      <c r="D597" s="8" t="s">
        <v>785</v>
      </c>
      <c r="E597" s="9" t="s">
        <v>265</v>
      </c>
      <c r="F597" s="10">
        <v>12</v>
      </c>
      <c r="G597" s="10">
        <v>5</v>
      </c>
      <c r="H597" s="11">
        <f t="shared" si="55"/>
        <v>60</v>
      </c>
      <c r="I597" s="11" t="s">
        <v>24</v>
      </c>
      <c r="J597" s="9" t="str">
        <f>_xlfn.DISPIMG("ID_5950DF86BFD74D99B829C4415E3256CC",1)</f>
        <v>=DISPIMG("ID_5950DF86BFD74D99B829C4415E3256CC",1)</v>
      </c>
      <c r="L597" s="9" t="s">
        <v>786</v>
      </c>
    </row>
    <row r="598" ht="68.25" spans="1:12">
      <c r="A598" s="6" t="s">
        <v>784</v>
      </c>
      <c r="D598" s="8" t="s">
        <v>785</v>
      </c>
      <c r="E598" s="9" t="s">
        <v>285</v>
      </c>
      <c r="F598" s="10">
        <v>12</v>
      </c>
      <c r="G598" s="10">
        <v>4</v>
      </c>
      <c r="H598" s="11">
        <f t="shared" si="55"/>
        <v>48</v>
      </c>
      <c r="I598" s="11" t="s">
        <v>24</v>
      </c>
      <c r="J598" s="9" t="str">
        <f>_xlfn.DISPIMG("ID_663F809DD9484EA586AB90FBE43B66C2",1)</f>
        <v>=DISPIMG("ID_663F809DD9484EA586AB90FBE43B66C2",1)</v>
      </c>
      <c r="L598" s="9" t="s">
        <v>786</v>
      </c>
    </row>
    <row r="599" ht="68.25" spans="1:12">
      <c r="A599" s="6" t="s">
        <v>784</v>
      </c>
      <c r="D599" s="8" t="s">
        <v>785</v>
      </c>
      <c r="E599" s="9" t="s">
        <v>787</v>
      </c>
      <c r="F599" s="10">
        <v>12</v>
      </c>
      <c r="G599" s="10">
        <v>4</v>
      </c>
      <c r="H599" s="11">
        <f t="shared" si="55"/>
        <v>48</v>
      </c>
      <c r="I599" s="11" t="s">
        <v>24</v>
      </c>
      <c r="J599" s="9" t="str">
        <f>_xlfn.DISPIMG("ID_C282B5D4FD13483F90C4225C4679DA75",1)</f>
        <v>=DISPIMG("ID_C282B5D4FD13483F90C4225C4679DA75",1)</v>
      </c>
      <c r="L599" s="9" t="s">
        <v>786</v>
      </c>
    </row>
    <row r="600" spans="1:12">
      <c r="F600" s="10">
        <v>12</v>
      </c>
      <c r="G600" s="10"/>
      <c r="H600" s="11">
        <f t="shared" si="55"/>
        <v>0</v>
      </c>
      <c r="I600" s="11" t="s">
        <v>24</v>
      </c>
    </row>
    <row r="601" spans="1:12">
      <c r="F601" s="10">
        <v>12</v>
      </c>
      <c r="G601" s="10"/>
      <c r="H601" s="11">
        <f t="shared" si="55"/>
        <v>0</v>
      </c>
      <c r="I601" s="11" t="s">
        <v>24</v>
      </c>
    </row>
    <row r="602" spans="1:12">
      <c r="F602" s="10">
        <v>12</v>
      </c>
      <c r="G602" s="10"/>
      <c r="H602" s="11">
        <f t="shared" si="55"/>
        <v>0</v>
      </c>
      <c r="I602" s="11" t="s">
        <v>24</v>
      </c>
    </row>
    <row r="603" spans="1:12">
      <c r="F603" s="10">
        <v>12</v>
      </c>
      <c r="G603" s="10"/>
      <c r="H603" s="11">
        <f t="shared" si="55"/>
        <v>0</v>
      </c>
      <c r="I603" s="11" t="s">
        <v>24</v>
      </c>
    </row>
    <row r="604" spans="1:12">
      <c r="F604" s="10">
        <v>12</v>
      </c>
      <c r="G604" s="10"/>
      <c r="H604" s="11">
        <f t="shared" si="55"/>
        <v>0</v>
      </c>
      <c r="I604" s="11" t="s">
        <v>24</v>
      </c>
    </row>
    <row r="605" spans="1:12">
      <c r="F605" s="10">
        <v>12</v>
      </c>
      <c r="G605" s="10"/>
      <c r="H605" s="11">
        <f t="shared" si="55"/>
        <v>0</v>
      </c>
      <c r="I605" s="11" t="s">
        <v>24</v>
      </c>
    </row>
    <row r="606" spans="1:12">
      <c r="F606" s="10">
        <v>12</v>
      </c>
      <c r="G606" s="10"/>
      <c r="H606" s="11">
        <f t="shared" si="55"/>
        <v>0</v>
      </c>
      <c r="I606" s="11" t="s">
        <v>24</v>
      </c>
    </row>
  </sheetData>
  <autoFilter xmlns:etc="http://www.wps.cn/officeDocument/2017/etCustomData" ref="A1:AI606" etc:filterBottomFollowUsedRange="0">
    <extLst/>
  </autoFilter>
  <mergeCells count="140">
    <mergeCell ref="A9:A10"/>
    <mergeCell ref="A18:A19"/>
    <mergeCell ref="A20:A22"/>
    <mergeCell ref="A25:A32"/>
    <mergeCell ref="A33:A35"/>
    <mergeCell ref="A36:A37"/>
    <mergeCell ref="A40:A42"/>
    <mergeCell ref="A43:A45"/>
    <mergeCell ref="A46:A47"/>
    <mergeCell ref="A49:A51"/>
    <mergeCell ref="A54:A55"/>
    <mergeCell ref="A56:A58"/>
    <mergeCell ref="A59:A61"/>
    <mergeCell ref="A62:A63"/>
    <mergeCell ref="A64:A65"/>
    <mergeCell ref="A66:A67"/>
    <mergeCell ref="A69:A70"/>
    <mergeCell ref="A73:A74"/>
    <mergeCell ref="A75:A76"/>
    <mergeCell ref="A77:A79"/>
    <mergeCell ref="A83:A84"/>
    <mergeCell ref="A86:A87"/>
    <mergeCell ref="A89:A90"/>
    <mergeCell ref="A91:A95"/>
    <mergeCell ref="A97:A100"/>
    <mergeCell ref="A102:A103"/>
    <mergeCell ref="A104:A107"/>
    <mergeCell ref="A109:A110"/>
    <mergeCell ref="A111:A113"/>
    <mergeCell ref="A114:A115"/>
    <mergeCell ref="A116:A117"/>
    <mergeCell ref="A118:A119"/>
    <mergeCell ref="A122:A124"/>
    <mergeCell ref="A125:A126"/>
    <mergeCell ref="A130:A131"/>
    <mergeCell ref="A136:A137"/>
    <mergeCell ref="A142:A143"/>
    <mergeCell ref="A144:A145"/>
    <mergeCell ref="A146:A147"/>
    <mergeCell ref="A153:A155"/>
    <mergeCell ref="A157:A158"/>
    <mergeCell ref="A172:A174"/>
    <mergeCell ref="A178:A181"/>
    <mergeCell ref="A189:A190"/>
    <mergeCell ref="A192:A193"/>
    <mergeCell ref="A194:A195"/>
    <mergeCell ref="A205:A209"/>
    <mergeCell ref="A210:A211"/>
    <mergeCell ref="B18:B19"/>
    <mergeCell ref="B49:B51"/>
    <mergeCell ref="B54:B55"/>
    <mergeCell ref="D9:D10"/>
    <mergeCell ref="D18:D19"/>
    <mergeCell ref="D20:D22"/>
    <mergeCell ref="D25:D32"/>
    <mergeCell ref="D33:D35"/>
    <mergeCell ref="D36:D37"/>
    <mergeCell ref="D40:D42"/>
    <mergeCell ref="D43:D45"/>
    <mergeCell ref="D46:D47"/>
    <mergeCell ref="D49:D51"/>
    <mergeCell ref="D54:D55"/>
    <mergeCell ref="D56:D58"/>
    <mergeCell ref="D59:D61"/>
    <mergeCell ref="D62:D63"/>
    <mergeCell ref="D64:D65"/>
    <mergeCell ref="D66:D67"/>
    <mergeCell ref="D69:D70"/>
    <mergeCell ref="D73:D74"/>
    <mergeCell ref="D75:D76"/>
    <mergeCell ref="D77:D79"/>
    <mergeCell ref="D83:D84"/>
    <mergeCell ref="D86:D87"/>
    <mergeCell ref="D89:D90"/>
    <mergeCell ref="D91:D95"/>
    <mergeCell ref="D97:D100"/>
    <mergeCell ref="D102:D103"/>
    <mergeCell ref="D109:D110"/>
    <mergeCell ref="D111:D113"/>
    <mergeCell ref="D114:D115"/>
    <mergeCell ref="D116:D117"/>
    <mergeCell ref="D118:D119"/>
    <mergeCell ref="D122:D124"/>
    <mergeCell ref="D125:D126"/>
    <mergeCell ref="D130:D131"/>
    <mergeCell ref="D136:D137"/>
    <mergeCell ref="D142:D143"/>
    <mergeCell ref="D144:D145"/>
    <mergeCell ref="D146:D147"/>
    <mergeCell ref="D153:D155"/>
    <mergeCell ref="D157:D158"/>
    <mergeCell ref="D172:D174"/>
    <mergeCell ref="D178:D181"/>
    <mergeCell ref="D189:D190"/>
    <mergeCell ref="D192:D193"/>
    <mergeCell ref="D194:D195"/>
    <mergeCell ref="D205:D209"/>
    <mergeCell ref="D210:D211"/>
    <mergeCell ref="L20:L22"/>
    <mergeCell ref="L59:L61"/>
    <mergeCell ref="L62:L63"/>
    <mergeCell ref="L64:L65"/>
    <mergeCell ref="L66:L67"/>
    <mergeCell ref="L91:L95"/>
    <mergeCell ref="L102:L103"/>
    <mergeCell ref="L109:L110"/>
    <mergeCell ref="L114:L115"/>
    <mergeCell ref="L116:L117"/>
    <mergeCell ref="L118:L119"/>
    <mergeCell ref="L122:L124"/>
    <mergeCell ref="L130:L131"/>
    <mergeCell ref="L157:L158"/>
    <mergeCell ref="L172:L174"/>
    <mergeCell ref="L178:L181"/>
    <mergeCell ref="L182:L183"/>
    <mergeCell ref="L189:L190"/>
    <mergeCell ref="L194:L195"/>
    <mergeCell ref="L196:L197"/>
    <mergeCell ref="L205:L209"/>
    <mergeCell ref="L210:L211"/>
    <mergeCell ref="L245:L247"/>
    <mergeCell ref="M20:M22"/>
    <mergeCell ref="M104:M106"/>
    <mergeCell ref="M132:M134"/>
    <mergeCell ref="M196:M197"/>
    <mergeCell ref="M210:M211"/>
    <mergeCell ref="M245:M247"/>
    <mergeCell ref="O20:O22"/>
    <mergeCell ref="P138:P141"/>
    <mergeCell ref="P163:P164"/>
    <mergeCell ref="P165:P169"/>
    <mergeCell ref="R7:R8"/>
    <mergeCell ref="R9:R10"/>
    <mergeCell ref="R18:R19"/>
    <mergeCell ref="R20:R22"/>
    <mergeCell ref="R25:R32"/>
    <mergeCell ref="R33:R35"/>
    <mergeCell ref="R176:R177"/>
    <mergeCell ref="R182:R184"/>
    <mergeCell ref="M138:O141"/>
  </mergeCells>
  <conditionalFormatting sqref="H15:I15">
    <cfRule type="expression" dxfId="0" priority="543">
      <formula>MOD(ROW(),2)=0</formula>
    </cfRule>
  </conditionalFormatting>
  <conditionalFormatting sqref="H80:I80">
    <cfRule type="expression" dxfId="0" priority="607">
      <formula>MOD(ROW(),2)=0</formula>
    </cfRule>
  </conditionalFormatting>
  <conditionalFormatting sqref="H82:I82">
    <cfRule type="expression" dxfId="0" priority="540">
      <formula>MOD(ROW(),2)=0</formula>
    </cfRule>
  </conditionalFormatting>
  <conditionalFormatting sqref="I107">
    <cfRule type="expression" dxfId="0" priority="562">
      <formula>MOD(ROW(),2)=0</formula>
    </cfRule>
  </conditionalFormatting>
  <conditionalFormatting sqref="H148">
    <cfRule type="expression" dxfId="0" priority="594">
      <formula>MOD(ROW(),2)=0</formula>
    </cfRule>
  </conditionalFormatting>
  <conditionalFormatting sqref="I148">
    <cfRule type="expression" dxfId="0" priority="595">
      <formula>MOD(ROW(),2)=0</formula>
    </cfRule>
  </conditionalFormatting>
  <conditionalFormatting sqref="H149">
    <cfRule type="expression" dxfId="0" priority="591">
      <formula>MOD(ROW(),2)=0</formula>
    </cfRule>
  </conditionalFormatting>
  <conditionalFormatting sqref="I149">
    <cfRule type="expression" dxfId="0" priority="593">
      <formula>MOD(ROW(),2)=0</formula>
    </cfRule>
  </conditionalFormatting>
  <conditionalFormatting sqref="H150">
    <cfRule type="expression" dxfId="0" priority="589">
      <formula>MOD(ROW(),2)=0</formula>
    </cfRule>
  </conditionalFormatting>
  <conditionalFormatting sqref="I150">
    <cfRule type="expression" dxfId="0" priority="592">
      <formula>MOD(ROW(),2)=0</formula>
    </cfRule>
  </conditionalFormatting>
  <conditionalFormatting sqref="H152">
    <cfRule type="expression" dxfId="0" priority="571">
      <formula>MOD(ROW(),2)=0</formula>
    </cfRule>
  </conditionalFormatting>
  <conditionalFormatting sqref="I152">
    <cfRule type="expression" dxfId="0" priority="572">
      <formula>MOD(ROW(),2)=0</formula>
    </cfRule>
  </conditionalFormatting>
  <conditionalFormatting sqref="H165">
    <cfRule type="expression" dxfId="0" priority="598">
      <formula>MOD(ROW(),2)=0</formula>
    </cfRule>
  </conditionalFormatting>
  <conditionalFormatting sqref="I165">
    <cfRule type="expression" dxfId="0" priority="599">
      <formula>MOD(ROW(),2)=0</formula>
    </cfRule>
  </conditionalFormatting>
  <conditionalFormatting sqref="H170">
    <cfRule type="expression" dxfId="0" priority="544">
      <formula>MOD(ROW(),2)=0</formula>
    </cfRule>
  </conditionalFormatting>
  <conditionalFormatting sqref="I170">
    <cfRule type="expression" dxfId="0" priority="545">
      <formula>MOD(ROW(),2)=0</formula>
    </cfRule>
  </conditionalFormatting>
  <conditionalFormatting sqref="H171">
    <cfRule type="expression" dxfId="0" priority="541">
      <formula>MOD(ROW(),2)=0</formula>
    </cfRule>
  </conditionalFormatting>
  <conditionalFormatting sqref="I171">
    <cfRule type="expression" dxfId="0" priority="542">
      <formula>MOD(ROW(),2)=0</formula>
    </cfRule>
  </conditionalFormatting>
  <conditionalFormatting sqref="H176">
    <cfRule type="expression" dxfId="0" priority="580">
      <formula>MOD(ROW(),2)=0</formula>
    </cfRule>
  </conditionalFormatting>
  <conditionalFormatting sqref="I176">
    <cfRule type="expression" dxfId="0" priority="585">
      <formula>MOD(ROW(),2)=0</formula>
    </cfRule>
  </conditionalFormatting>
  <conditionalFormatting sqref="H177">
    <cfRule type="expression" dxfId="0" priority="581">
      <formula>MOD(ROW(),2)=0</formula>
    </cfRule>
  </conditionalFormatting>
  <conditionalFormatting sqref="I177">
    <cfRule type="expression" dxfId="0" priority="583">
      <formula>MOD(ROW(),2)=0</formula>
    </cfRule>
  </conditionalFormatting>
  <conditionalFormatting sqref="H187">
    <cfRule type="expression" dxfId="0" priority="578">
      <formula>MOD(ROW(),2)=0</formula>
    </cfRule>
  </conditionalFormatting>
  <conditionalFormatting sqref="I187">
    <cfRule type="expression" dxfId="0" priority="579">
      <formula>MOD(ROW(),2)=0</formula>
    </cfRule>
  </conditionalFormatting>
  <conditionalFormatting sqref="H200">
    <cfRule type="expression" dxfId="0" priority="538">
      <formula>MOD(ROW(),2)=0</formula>
    </cfRule>
  </conditionalFormatting>
  <conditionalFormatting sqref="I200">
    <cfRule type="expression" dxfId="0" priority="539">
      <formula>MOD(ROW(),2)=0</formula>
    </cfRule>
  </conditionalFormatting>
  <conditionalFormatting sqref="H227">
    <cfRule type="expression" dxfId="0" priority="565">
      <formula>MOD(ROW(),2)=0</formula>
    </cfRule>
  </conditionalFormatting>
  <conditionalFormatting sqref="I227">
    <cfRule type="expression" dxfId="0" priority="566">
      <formula>MOD(ROW(),2)=0</formula>
    </cfRule>
  </conditionalFormatting>
  <conditionalFormatting sqref="H228">
    <cfRule type="expression" dxfId="0" priority="557">
      <formula>MOD(ROW(),2)=0</formula>
    </cfRule>
  </conditionalFormatting>
  <conditionalFormatting sqref="I228">
    <cfRule type="expression" dxfId="0" priority="560">
      <formula>MOD(ROW(),2)=0</formula>
    </cfRule>
  </conditionalFormatting>
  <conditionalFormatting sqref="H229">
    <cfRule type="expression" dxfId="0" priority="556">
      <formula>MOD(ROW(),2)=0</formula>
    </cfRule>
  </conditionalFormatting>
  <conditionalFormatting sqref="I229">
    <cfRule type="expression" dxfId="0" priority="559">
      <formula>MOD(ROW(),2)=0</formula>
    </cfRule>
  </conditionalFormatting>
  <conditionalFormatting sqref="H230">
    <cfRule type="expression" dxfId="0" priority="555">
      <formula>MOD(ROW(),2)=0</formula>
    </cfRule>
  </conditionalFormatting>
  <conditionalFormatting sqref="I230">
    <cfRule type="expression" dxfId="0" priority="558">
      <formula>MOD(ROW(),2)=0</formula>
    </cfRule>
  </conditionalFormatting>
  <conditionalFormatting sqref="H232">
    <cfRule type="expression" dxfId="0" priority="547">
      <formula>MOD(ROW(),2)=0</formula>
    </cfRule>
  </conditionalFormatting>
  <conditionalFormatting sqref="I232">
    <cfRule type="expression" dxfId="0" priority="548">
      <formula>MOD(ROW(),2)=0</formula>
    </cfRule>
  </conditionalFormatting>
  <conditionalFormatting sqref="H233">
    <cfRule type="expression" dxfId="0" priority="569">
      <formula>MOD(ROW(),2)=0</formula>
    </cfRule>
  </conditionalFormatting>
  <conditionalFormatting sqref="I233">
    <cfRule type="expression" dxfId="0" priority="570">
      <formula>MOD(ROW(),2)=0</formula>
    </cfRule>
  </conditionalFormatting>
  <conditionalFormatting sqref="H234">
    <cfRule type="expression" dxfId="0" priority="567">
      <formula>MOD(ROW(),2)=0</formula>
    </cfRule>
  </conditionalFormatting>
  <conditionalFormatting sqref="I234">
    <cfRule type="expression" dxfId="0" priority="568">
      <formula>MOD(ROW(),2)=0</formula>
    </cfRule>
  </conditionalFormatting>
  <conditionalFormatting sqref="H236">
    <cfRule type="expression" dxfId="0" priority="553">
      <formula>MOD(ROW(),2)=0</formula>
    </cfRule>
  </conditionalFormatting>
  <conditionalFormatting sqref="I236">
    <cfRule type="expression" dxfId="0" priority="554">
      <formula>MOD(ROW(),2)=0</formula>
    </cfRule>
  </conditionalFormatting>
  <conditionalFormatting sqref="H240">
    <cfRule type="expression" dxfId="0" priority="551">
      <formula>MOD(ROW(),2)=0</formula>
    </cfRule>
  </conditionalFormatting>
  <conditionalFormatting sqref="I240">
    <cfRule type="expression" dxfId="0" priority="552">
      <formula>MOD(ROW(),2)=0</formula>
    </cfRule>
  </conditionalFormatting>
  <conditionalFormatting sqref="H241">
    <cfRule type="expression" dxfId="0" priority="549">
      <formula>MOD(ROW(),2)=0</formula>
    </cfRule>
  </conditionalFormatting>
  <conditionalFormatting sqref="I241">
    <cfRule type="expression" dxfId="0" priority="550">
      <formula>MOD(ROW(),2)=0</formula>
    </cfRule>
  </conditionalFormatting>
  <conditionalFormatting sqref="H260">
    <cfRule type="expression" dxfId="0" priority="114">
      <formula>MOD(ROW(),2)=0</formula>
    </cfRule>
  </conditionalFormatting>
  <conditionalFormatting sqref="I260">
    <cfRule type="expression" dxfId="0" priority="115">
      <formula>MOD(ROW(),2)=0</formula>
    </cfRule>
  </conditionalFormatting>
  <conditionalFormatting sqref="H261">
    <cfRule type="expression" dxfId="0" priority="92">
      <formula>MOD(ROW(),2)=0</formula>
    </cfRule>
  </conditionalFormatting>
  <conditionalFormatting sqref="I261">
    <cfRule type="expression" dxfId="0" priority="93">
      <formula>MOD(ROW(),2)=0</formula>
    </cfRule>
  </conditionalFormatting>
  <conditionalFormatting sqref="H270">
    <cfRule type="expression" dxfId="0" priority="536">
      <formula>MOD(ROW(),2)=0</formula>
    </cfRule>
  </conditionalFormatting>
  <conditionalFormatting sqref="I270">
    <cfRule type="expression" dxfId="0" priority="537">
      <formula>MOD(ROW(),2)=0</formula>
    </cfRule>
  </conditionalFormatting>
  <conditionalFormatting sqref="H271">
    <cfRule type="expression" dxfId="0" priority="534">
      <formula>MOD(ROW(),2)=0</formula>
    </cfRule>
  </conditionalFormatting>
  <conditionalFormatting sqref="I271">
    <cfRule type="expression" dxfId="0" priority="535">
      <formula>MOD(ROW(),2)=0</formula>
    </cfRule>
  </conditionalFormatting>
  <conditionalFormatting sqref="H278">
    <cfRule type="expression" dxfId="0" priority="532">
      <formula>MOD(ROW(),2)=0</formula>
    </cfRule>
  </conditionalFormatting>
  <conditionalFormatting sqref="I278">
    <cfRule type="expression" dxfId="0" priority="533">
      <formula>MOD(ROW(),2)=0</formula>
    </cfRule>
  </conditionalFormatting>
  <conditionalFormatting sqref="H279">
    <cfRule type="expression" dxfId="0" priority="530">
      <formula>MOD(ROW(),2)=0</formula>
    </cfRule>
  </conditionalFormatting>
  <conditionalFormatting sqref="I279">
    <cfRule type="expression" dxfId="0" priority="531">
      <formula>MOD(ROW(),2)=0</formula>
    </cfRule>
  </conditionalFormatting>
  <conditionalFormatting sqref="H280">
    <cfRule type="expression" dxfId="0" priority="525">
      <formula>MOD(ROW(),2)=0</formula>
    </cfRule>
  </conditionalFormatting>
  <conditionalFormatting sqref="I280">
    <cfRule type="expression" dxfId="0" priority="527">
      <formula>MOD(ROW(),2)=0</formula>
    </cfRule>
  </conditionalFormatting>
  <conditionalFormatting sqref="H281">
    <cfRule type="expression" dxfId="0" priority="524">
      <formula>MOD(ROW(),2)=0</formula>
    </cfRule>
  </conditionalFormatting>
  <conditionalFormatting sqref="I281">
    <cfRule type="expression" dxfId="0" priority="526">
      <formula>MOD(ROW(),2)=0</formula>
    </cfRule>
  </conditionalFormatting>
  <conditionalFormatting sqref="H285">
    <cfRule type="expression" dxfId="0" priority="528">
      <formula>MOD(ROW(),2)=0</formula>
    </cfRule>
  </conditionalFormatting>
  <conditionalFormatting sqref="I285">
    <cfRule type="expression" dxfId="0" priority="529">
      <formula>MOD(ROW(),2)=0</formula>
    </cfRule>
  </conditionalFormatting>
  <conditionalFormatting sqref="H286">
    <cfRule type="expression" dxfId="0" priority="236">
      <formula>MOD(ROW(),2)=0</formula>
    </cfRule>
  </conditionalFormatting>
  <conditionalFormatting sqref="I286">
    <cfRule type="expression" dxfId="0" priority="239">
      <formula>MOD(ROW(),2)=0</formula>
    </cfRule>
  </conditionalFormatting>
  <conditionalFormatting sqref="H287">
    <cfRule type="expression" dxfId="0" priority="235">
      <formula>MOD(ROW(),2)=0</formula>
    </cfRule>
  </conditionalFormatting>
  <conditionalFormatting sqref="I287">
    <cfRule type="expression" dxfId="0" priority="238">
      <formula>MOD(ROW(),2)=0</formula>
    </cfRule>
  </conditionalFormatting>
  <conditionalFormatting sqref="H297">
    <cfRule type="expression" dxfId="0" priority="229">
      <formula>MOD(ROW(),2)=0</formula>
    </cfRule>
  </conditionalFormatting>
  <conditionalFormatting sqref="I297">
    <cfRule type="expression" dxfId="0" priority="233">
      <formula>MOD(ROW(),2)=0</formula>
    </cfRule>
  </conditionalFormatting>
  <conditionalFormatting sqref="H298">
    <cfRule type="expression" dxfId="0" priority="228">
      <formula>MOD(ROW(),2)=0</formula>
    </cfRule>
  </conditionalFormatting>
  <conditionalFormatting sqref="I298">
    <cfRule type="expression" dxfId="0" priority="232">
      <formula>MOD(ROW(),2)=0</formula>
    </cfRule>
  </conditionalFormatting>
  <conditionalFormatting sqref="H299">
    <cfRule type="expression" dxfId="0" priority="227">
      <formula>MOD(ROW(),2)=0</formula>
    </cfRule>
  </conditionalFormatting>
  <conditionalFormatting sqref="I299">
    <cfRule type="expression" dxfId="0" priority="231">
      <formula>MOD(ROW(),2)=0</formula>
    </cfRule>
  </conditionalFormatting>
  <conditionalFormatting sqref="H300">
    <cfRule type="expression" dxfId="0" priority="226">
      <formula>MOD(ROW(),2)=0</formula>
    </cfRule>
  </conditionalFormatting>
  <conditionalFormatting sqref="I300">
    <cfRule type="expression" dxfId="0" priority="230">
      <formula>MOD(ROW(),2)=0</formula>
    </cfRule>
  </conditionalFormatting>
  <conditionalFormatting sqref="H301">
    <cfRule type="expression" dxfId="0" priority="522">
      <formula>MOD(ROW(),2)=0</formula>
    </cfRule>
  </conditionalFormatting>
  <conditionalFormatting sqref="I301">
    <cfRule type="expression" dxfId="0" priority="523">
      <formula>MOD(ROW(),2)=0</formula>
    </cfRule>
  </conditionalFormatting>
  <conditionalFormatting sqref="H302">
    <cfRule type="expression" dxfId="0" priority="520">
      <formula>MOD(ROW(),2)=0</formula>
    </cfRule>
  </conditionalFormatting>
  <conditionalFormatting sqref="I302">
    <cfRule type="expression" dxfId="0" priority="521">
      <formula>MOD(ROW(),2)=0</formula>
    </cfRule>
  </conditionalFormatting>
  <conditionalFormatting sqref="H303">
    <cfRule type="expression" dxfId="0" priority="223">
      <formula>MOD(ROW(),2)=0</formula>
    </cfRule>
  </conditionalFormatting>
  <conditionalFormatting sqref="I303">
    <cfRule type="expression" dxfId="0" priority="225">
      <formula>MOD(ROW(),2)=0</formula>
    </cfRule>
  </conditionalFormatting>
  <conditionalFormatting sqref="H304">
    <cfRule type="expression" dxfId="0" priority="220">
      <formula>MOD(ROW(),2)=0</formula>
    </cfRule>
  </conditionalFormatting>
  <conditionalFormatting sqref="I304">
    <cfRule type="expression" dxfId="0" priority="221">
      <formula>MOD(ROW(),2)=0</formula>
    </cfRule>
  </conditionalFormatting>
  <conditionalFormatting sqref="H305">
    <cfRule type="expression" dxfId="0" priority="170">
      <formula>MOD(ROW(),2)=0</formula>
    </cfRule>
  </conditionalFormatting>
  <conditionalFormatting sqref="I305">
    <cfRule type="expression" dxfId="0" priority="171">
      <formula>MOD(ROW(),2)=0</formula>
    </cfRule>
  </conditionalFormatting>
  <conditionalFormatting sqref="H306">
    <cfRule type="expression" dxfId="0" priority="167">
      <formula>MOD(ROW(),2)=0</formula>
    </cfRule>
  </conditionalFormatting>
  <conditionalFormatting sqref="I306">
    <cfRule type="expression" dxfId="0" priority="169">
      <formula>MOD(ROW(),2)=0</formula>
    </cfRule>
  </conditionalFormatting>
  <conditionalFormatting sqref="H307">
    <cfRule type="expression" dxfId="0" priority="166">
      <formula>MOD(ROW(),2)=0</formula>
    </cfRule>
  </conditionalFormatting>
  <conditionalFormatting sqref="I307">
    <cfRule type="expression" dxfId="0" priority="168">
      <formula>MOD(ROW(),2)=0</formula>
    </cfRule>
  </conditionalFormatting>
  <conditionalFormatting sqref="H308">
    <cfRule type="expression" dxfId="0" priority="164">
      <formula>MOD(ROW(),2)=0</formula>
    </cfRule>
  </conditionalFormatting>
  <conditionalFormatting sqref="I308">
    <cfRule type="expression" dxfId="0" priority="165">
      <formula>MOD(ROW(),2)=0</formula>
    </cfRule>
  </conditionalFormatting>
  <conditionalFormatting sqref="H313">
    <cfRule type="expression" dxfId="0" priority="518">
      <formula>MOD(ROW(),2)=0</formula>
    </cfRule>
  </conditionalFormatting>
  <conditionalFormatting sqref="I313">
    <cfRule type="expression" dxfId="0" priority="519">
      <formula>MOD(ROW(),2)=0</formula>
    </cfRule>
  </conditionalFormatting>
  <conditionalFormatting sqref="H314">
    <cfRule type="expression" dxfId="0" priority="516">
      <formula>MOD(ROW(),2)=0</formula>
    </cfRule>
  </conditionalFormatting>
  <conditionalFormatting sqref="I314">
    <cfRule type="expression" dxfId="0" priority="517">
      <formula>MOD(ROW(),2)=0</formula>
    </cfRule>
  </conditionalFormatting>
  <conditionalFormatting sqref="H315">
    <cfRule type="expression" dxfId="0" priority="514">
      <formula>MOD(ROW(),2)=0</formula>
    </cfRule>
  </conditionalFormatting>
  <conditionalFormatting sqref="I315">
    <cfRule type="expression" dxfId="0" priority="515">
      <formula>MOD(ROW(),2)=0</formula>
    </cfRule>
  </conditionalFormatting>
  <conditionalFormatting sqref="H316">
    <cfRule type="expression" dxfId="0" priority="512">
      <formula>MOD(ROW(),2)=0</formula>
    </cfRule>
  </conditionalFormatting>
  <conditionalFormatting sqref="I316">
    <cfRule type="expression" dxfId="0" priority="513">
      <formula>MOD(ROW(),2)=0</formula>
    </cfRule>
  </conditionalFormatting>
  <conditionalFormatting sqref="H317">
    <cfRule type="expression" dxfId="0" priority="510">
      <formula>MOD(ROW(),2)=0</formula>
    </cfRule>
  </conditionalFormatting>
  <conditionalFormatting sqref="I317">
    <cfRule type="expression" dxfId="0" priority="511">
      <formula>MOD(ROW(),2)=0</formula>
    </cfRule>
  </conditionalFormatting>
  <conditionalFormatting sqref="H318">
    <cfRule type="expression" dxfId="0" priority="508">
      <formula>MOD(ROW(),2)=0</formula>
    </cfRule>
  </conditionalFormatting>
  <conditionalFormatting sqref="I318">
    <cfRule type="expression" dxfId="0" priority="509">
      <formula>MOD(ROW(),2)=0</formula>
    </cfRule>
  </conditionalFormatting>
  <conditionalFormatting sqref="H319">
    <cfRule type="expression" dxfId="0" priority="506">
      <formula>MOD(ROW(),2)=0</formula>
    </cfRule>
  </conditionalFormatting>
  <conditionalFormatting sqref="I319">
    <cfRule type="expression" dxfId="0" priority="507">
      <formula>MOD(ROW(),2)=0</formula>
    </cfRule>
  </conditionalFormatting>
  <conditionalFormatting sqref="H325">
    <cfRule type="expression" dxfId="0" priority="504">
      <formula>MOD(ROW(),2)=0</formula>
    </cfRule>
  </conditionalFormatting>
  <conditionalFormatting sqref="I325">
    <cfRule type="expression" dxfId="0" priority="505">
      <formula>MOD(ROW(),2)=0</formula>
    </cfRule>
  </conditionalFormatting>
  <conditionalFormatting sqref="H333">
    <cfRule type="expression" dxfId="0" priority="162">
      <formula>MOD(ROW(),2)=0</formula>
    </cfRule>
  </conditionalFormatting>
  <conditionalFormatting sqref="I333">
    <cfRule type="expression" dxfId="0" priority="163">
      <formula>MOD(ROW(),2)=0</formula>
    </cfRule>
  </conditionalFormatting>
  <conditionalFormatting sqref="H351">
    <cfRule type="expression" dxfId="0" priority="502">
      <formula>MOD(ROW(),2)=0</formula>
    </cfRule>
  </conditionalFormatting>
  <conditionalFormatting sqref="I351">
    <cfRule type="expression" dxfId="0" priority="503">
      <formula>MOD(ROW(),2)=0</formula>
    </cfRule>
  </conditionalFormatting>
  <conditionalFormatting sqref="H352">
    <cfRule type="expression" dxfId="0" priority="500">
      <formula>MOD(ROW(),2)=0</formula>
    </cfRule>
  </conditionalFormatting>
  <conditionalFormatting sqref="I352">
    <cfRule type="expression" dxfId="0" priority="501">
      <formula>MOD(ROW(),2)=0</formula>
    </cfRule>
  </conditionalFormatting>
  <conditionalFormatting sqref="H353">
    <cfRule type="expression" dxfId="0" priority="192">
      <formula>MOD(ROW(),2)=0</formula>
    </cfRule>
  </conditionalFormatting>
  <conditionalFormatting sqref="I353">
    <cfRule type="expression" dxfId="0" priority="193">
      <formula>MOD(ROW(),2)=0</formula>
    </cfRule>
  </conditionalFormatting>
  <conditionalFormatting sqref="H354">
    <cfRule type="expression" dxfId="0" priority="190">
      <formula>MOD(ROW(),2)=0</formula>
    </cfRule>
  </conditionalFormatting>
  <conditionalFormatting sqref="I354">
    <cfRule type="expression" dxfId="0" priority="191">
      <formula>MOD(ROW(),2)=0</formula>
    </cfRule>
  </conditionalFormatting>
  <conditionalFormatting sqref="H355">
    <cfRule type="expression" dxfId="0" priority="498">
      <formula>MOD(ROW(),2)=0</formula>
    </cfRule>
  </conditionalFormatting>
  <conditionalFormatting sqref="I355">
    <cfRule type="expression" dxfId="0" priority="499">
      <formula>MOD(ROW(),2)=0</formula>
    </cfRule>
  </conditionalFormatting>
  <conditionalFormatting sqref="H357">
    <cfRule type="expression" dxfId="0" priority="496">
      <formula>MOD(ROW(),2)=0</formula>
    </cfRule>
  </conditionalFormatting>
  <conditionalFormatting sqref="I357">
    <cfRule type="expression" dxfId="0" priority="497">
      <formula>MOD(ROW(),2)=0</formula>
    </cfRule>
  </conditionalFormatting>
  <conditionalFormatting sqref="H358">
    <cfRule type="expression" dxfId="0" priority="140">
      <formula>MOD(ROW(),2)=0</formula>
    </cfRule>
  </conditionalFormatting>
  <conditionalFormatting sqref="I358">
    <cfRule type="expression" dxfId="0" priority="141">
      <formula>MOD(ROW(),2)=0</formula>
    </cfRule>
  </conditionalFormatting>
  <conditionalFormatting sqref="H359">
    <cfRule type="expression" dxfId="0" priority="188">
      <formula>MOD(ROW(),2)=0</formula>
    </cfRule>
  </conditionalFormatting>
  <conditionalFormatting sqref="I359">
    <cfRule type="expression" dxfId="0" priority="189">
      <formula>MOD(ROW(),2)=0</formula>
    </cfRule>
  </conditionalFormatting>
  <conditionalFormatting sqref="H363">
    <cfRule type="expression" dxfId="0" priority="250">
      <formula>MOD(ROW(),2)=0</formula>
    </cfRule>
  </conditionalFormatting>
  <conditionalFormatting sqref="I363">
    <cfRule type="expression" dxfId="0" priority="253">
      <formula>MOD(ROW(),2)=0</formula>
    </cfRule>
  </conditionalFormatting>
  <conditionalFormatting sqref="H364">
    <cfRule type="expression" dxfId="0" priority="249">
      <formula>MOD(ROW(),2)=0</formula>
    </cfRule>
  </conditionalFormatting>
  <conditionalFormatting sqref="I364">
    <cfRule type="expression" dxfId="0" priority="252">
      <formula>MOD(ROW(),2)=0</formula>
    </cfRule>
  </conditionalFormatting>
  <conditionalFormatting sqref="H365">
    <cfRule type="expression" dxfId="0" priority="248">
      <formula>MOD(ROW(),2)=0</formula>
    </cfRule>
  </conditionalFormatting>
  <conditionalFormatting sqref="I365">
    <cfRule type="expression" dxfId="0" priority="251">
      <formula>MOD(ROW(),2)=0</formula>
    </cfRule>
  </conditionalFormatting>
  <conditionalFormatting sqref="H366">
    <cfRule type="expression" dxfId="0" priority="207">
      <formula>MOD(ROW(),2)=0</formula>
    </cfRule>
  </conditionalFormatting>
  <conditionalFormatting sqref="I366">
    <cfRule type="expression" dxfId="0" priority="211">
      <formula>MOD(ROW(),2)=0</formula>
    </cfRule>
  </conditionalFormatting>
  <conditionalFormatting sqref="H367">
    <cfRule type="expression" dxfId="0" priority="206">
      <formula>MOD(ROW(),2)=0</formula>
    </cfRule>
  </conditionalFormatting>
  <conditionalFormatting sqref="I367">
    <cfRule type="expression" dxfId="0" priority="210">
      <formula>MOD(ROW(),2)=0</formula>
    </cfRule>
  </conditionalFormatting>
  <conditionalFormatting sqref="H368">
    <cfRule type="expression" dxfId="0" priority="205">
      <formula>MOD(ROW(),2)=0</formula>
    </cfRule>
  </conditionalFormatting>
  <conditionalFormatting sqref="I368">
    <cfRule type="expression" dxfId="0" priority="209">
      <formula>MOD(ROW(),2)=0</formula>
    </cfRule>
  </conditionalFormatting>
  <conditionalFormatting sqref="H369">
    <cfRule type="expression" dxfId="0" priority="204">
      <formula>MOD(ROW(),2)=0</formula>
    </cfRule>
  </conditionalFormatting>
  <conditionalFormatting sqref="I369">
    <cfRule type="expression" dxfId="0" priority="208">
      <formula>MOD(ROW(),2)=0</formula>
    </cfRule>
  </conditionalFormatting>
  <conditionalFormatting sqref="H379">
    <cfRule type="expression" dxfId="0" priority="174">
      <formula>MOD(ROW(),2)=0</formula>
    </cfRule>
  </conditionalFormatting>
  <conditionalFormatting sqref="I379">
    <cfRule type="expression" dxfId="0" priority="177">
      <formula>MOD(ROW(),2)=0</formula>
    </cfRule>
  </conditionalFormatting>
  <conditionalFormatting sqref="H380">
    <cfRule type="expression" dxfId="0" priority="173">
      <formula>MOD(ROW(),2)=0</formula>
    </cfRule>
  </conditionalFormatting>
  <conditionalFormatting sqref="I380">
    <cfRule type="expression" dxfId="0" priority="176">
      <formula>MOD(ROW(),2)=0</formula>
    </cfRule>
  </conditionalFormatting>
  <conditionalFormatting sqref="H381">
    <cfRule type="expression" dxfId="0" priority="172">
      <formula>MOD(ROW(),2)=0</formula>
    </cfRule>
  </conditionalFormatting>
  <conditionalFormatting sqref="I381">
    <cfRule type="expression" dxfId="0" priority="175">
      <formula>MOD(ROW(),2)=0</formula>
    </cfRule>
  </conditionalFormatting>
  <conditionalFormatting sqref="H385">
    <cfRule type="expression" dxfId="0" priority="494">
      <formula>MOD(ROW(),2)=0</formula>
    </cfRule>
  </conditionalFormatting>
  <conditionalFormatting sqref="I385">
    <cfRule type="expression" dxfId="0" priority="495">
      <formula>MOD(ROW(),2)=0</formula>
    </cfRule>
  </conditionalFormatting>
  <conditionalFormatting sqref="H387">
    <cfRule type="expression" dxfId="0" priority="491">
      <formula>MOD(ROW(),2)=0</formula>
    </cfRule>
  </conditionalFormatting>
  <conditionalFormatting sqref="I387">
    <cfRule type="expression" dxfId="0" priority="493">
      <formula>MOD(ROW(),2)=0</formula>
    </cfRule>
  </conditionalFormatting>
  <conditionalFormatting sqref="H388">
    <cfRule type="expression" dxfId="0" priority="488">
      <formula>MOD(ROW(),2)=0</formula>
    </cfRule>
  </conditionalFormatting>
  <conditionalFormatting sqref="I388">
    <cfRule type="expression" dxfId="0" priority="489">
      <formula>MOD(ROW(),2)=0</formula>
    </cfRule>
  </conditionalFormatting>
  <conditionalFormatting sqref="H389">
    <cfRule type="expression" dxfId="0" priority="186">
      <formula>MOD(ROW(),2)=0</formula>
    </cfRule>
  </conditionalFormatting>
  <conditionalFormatting sqref="I389">
    <cfRule type="expression" dxfId="0" priority="187">
      <formula>MOD(ROW(),2)=0</formula>
    </cfRule>
  </conditionalFormatting>
  <conditionalFormatting sqref="H390">
    <cfRule type="expression" dxfId="0" priority="184">
      <formula>MOD(ROW(),2)=0</formula>
    </cfRule>
  </conditionalFormatting>
  <conditionalFormatting sqref="I390">
    <cfRule type="expression" dxfId="0" priority="185">
      <formula>MOD(ROW(),2)=0</formula>
    </cfRule>
  </conditionalFormatting>
  <conditionalFormatting sqref="H392">
    <cfRule type="expression" dxfId="0" priority="486">
      <formula>MOD(ROW(),2)=0</formula>
    </cfRule>
  </conditionalFormatting>
  <conditionalFormatting sqref="I392">
    <cfRule type="expression" dxfId="0" priority="487">
      <formula>MOD(ROW(),2)=0</formula>
    </cfRule>
  </conditionalFormatting>
  <conditionalFormatting sqref="H396">
    <cfRule type="expression" dxfId="0" priority="182">
      <formula>MOD(ROW(),2)=0</formula>
    </cfRule>
  </conditionalFormatting>
  <conditionalFormatting sqref="I396">
    <cfRule type="expression" dxfId="0" priority="183">
      <formula>MOD(ROW(),2)=0</formula>
    </cfRule>
  </conditionalFormatting>
  <conditionalFormatting sqref="H397">
    <cfRule type="expression" dxfId="0" priority="180">
      <formula>MOD(ROW(),2)=0</formula>
    </cfRule>
  </conditionalFormatting>
  <conditionalFormatting sqref="I397">
    <cfRule type="expression" dxfId="0" priority="181">
      <formula>MOD(ROW(),2)=0</formula>
    </cfRule>
  </conditionalFormatting>
  <conditionalFormatting sqref="H409">
    <cfRule type="expression" dxfId="0" priority="197">
      <formula>MOD(ROW(),2)=0</formula>
    </cfRule>
  </conditionalFormatting>
  <conditionalFormatting sqref="I409">
    <cfRule type="expression" dxfId="0" priority="199">
      <formula>MOD(ROW(),2)=0</formula>
    </cfRule>
  </conditionalFormatting>
  <conditionalFormatting sqref="H410">
    <cfRule type="expression" dxfId="0" priority="196">
      <formula>MOD(ROW(),2)=0</formula>
    </cfRule>
  </conditionalFormatting>
  <conditionalFormatting sqref="I410">
    <cfRule type="expression" dxfId="0" priority="198">
      <formula>MOD(ROW(),2)=0</formula>
    </cfRule>
  </conditionalFormatting>
  <conditionalFormatting sqref="H415">
    <cfRule type="expression" dxfId="0" priority="246">
      <formula>MOD(ROW(),2)=0</formula>
    </cfRule>
  </conditionalFormatting>
  <conditionalFormatting sqref="I415">
    <cfRule type="expression" dxfId="0" priority="247">
      <formula>MOD(ROW(),2)=0</formula>
    </cfRule>
  </conditionalFormatting>
  <conditionalFormatting sqref="H419">
    <cfRule type="expression" dxfId="0" priority="369">
      <formula>MOD(ROW(),2)=0</formula>
    </cfRule>
  </conditionalFormatting>
  <conditionalFormatting sqref="I419">
    <cfRule type="expression" dxfId="0" priority="485">
      <formula>MOD(ROW(),2)=0</formula>
    </cfRule>
  </conditionalFormatting>
  <conditionalFormatting sqref="H420">
    <cfRule type="expression" dxfId="0" priority="368">
      <formula>MOD(ROW(),2)=0</formula>
    </cfRule>
  </conditionalFormatting>
  <conditionalFormatting sqref="I420">
    <cfRule type="expression" dxfId="0" priority="484">
      <formula>MOD(ROW(),2)=0</formula>
    </cfRule>
  </conditionalFormatting>
  <conditionalFormatting sqref="H421">
    <cfRule type="expression" dxfId="0" priority="367">
      <formula>MOD(ROW(),2)=0</formula>
    </cfRule>
  </conditionalFormatting>
  <conditionalFormatting sqref="I421">
    <cfRule type="expression" dxfId="0" priority="483">
      <formula>MOD(ROW(),2)=0</formula>
    </cfRule>
  </conditionalFormatting>
  <conditionalFormatting sqref="H422">
    <cfRule type="expression" dxfId="0" priority="366">
      <formula>MOD(ROW(),2)=0</formula>
    </cfRule>
  </conditionalFormatting>
  <conditionalFormatting sqref="I422">
    <cfRule type="expression" dxfId="0" priority="482">
      <formula>MOD(ROW(),2)=0</formula>
    </cfRule>
  </conditionalFormatting>
  <conditionalFormatting sqref="H423">
    <cfRule type="expression" dxfId="0" priority="244">
      <formula>MOD(ROW(),2)=0</formula>
    </cfRule>
  </conditionalFormatting>
  <conditionalFormatting sqref="I423">
    <cfRule type="expression" dxfId="0" priority="245">
      <formula>MOD(ROW(),2)=0</formula>
    </cfRule>
  </conditionalFormatting>
  <conditionalFormatting sqref="H424">
    <cfRule type="expression" dxfId="0" priority="364">
      <formula>MOD(ROW(),2)=0</formula>
    </cfRule>
  </conditionalFormatting>
  <conditionalFormatting sqref="I424">
    <cfRule type="expression" dxfId="0" priority="480">
      <formula>MOD(ROW(),2)=0</formula>
    </cfRule>
  </conditionalFormatting>
  <conditionalFormatting sqref="H425">
    <cfRule type="expression" dxfId="0" priority="242">
      <formula>MOD(ROW(),2)=0</formula>
    </cfRule>
  </conditionalFormatting>
  <conditionalFormatting sqref="I425">
    <cfRule type="expression" dxfId="0" priority="243">
      <formula>MOD(ROW(),2)=0</formula>
    </cfRule>
  </conditionalFormatting>
  <conditionalFormatting sqref="H426">
    <cfRule type="expression" dxfId="0" priority="240">
      <formula>MOD(ROW(),2)=0</formula>
    </cfRule>
  </conditionalFormatting>
  <conditionalFormatting sqref="I426">
    <cfRule type="expression" dxfId="0" priority="241">
      <formula>MOD(ROW(),2)=0</formula>
    </cfRule>
  </conditionalFormatting>
  <conditionalFormatting sqref="H427">
    <cfRule type="expression" dxfId="0" priority="361">
      <formula>MOD(ROW(),2)=0</formula>
    </cfRule>
  </conditionalFormatting>
  <conditionalFormatting sqref="I427">
    <cfRule type="expression" dxfId="0" priority="477">
      <formula>MOD(ROW(),2)=0</formula>
    </cfRule>
  </conditionalFormatting>
  <conditionalFormatting sqref="H428">
    <cfRule type="expression" dxfId="0" priority="360">
      <formula>MOD(ROW(),2)=0</formula>
    </cfRule>
  </conditionalFormatting>
  <conditionalFormatting sqref="I428">
    <cfRule type="expression" dxfId="0" priority="476">
      <formula>MOD(ROW(),2)=0</formula>
    </cfRule>
  </conditionalFormatting>
  <conditionalFormatting sqref="H429">
    <cfRule type="expression" dxfId="0" priority="359">
      <formula>MOD(ROW(),2)=0</formula>
    </cfRule>
  </conditionalFormatting>
  <conditionalFormatting sqref="I429">
    <cfRule type="expression" dxfId="0" priority="475">
      <formula>MOD(ROW(),2)=0</formula>
    </cfRule>
  </conditionalFormatting>
  <conditionalFormatting sqref="H430">
    <cfRule type="expression" dxfId="0" priority="358">
      <formula>MOD(ROW(),2)=0</formula>
    </cfRule>
  </conditionalFormatting>
  <conditionalFormatting sqref="I430">
    <cfRule type="expression" dxfId="0" priority="474">
      <formula>MOD(ROW(),2)=0</formula>
    </cfRule>
  </conditionalFormatting>
  <conditionalFormatting sqref="H431">
    <cfRule type="expression" dxfId="0" priority="357">
      <formula>MOD(ROW(),2)=0</formula>
    </cfRule>
  </conditionalFormatting>
  <conditionalFormatting sqref="I431">
    <cfRule type="expression" dxfId="0" priority="473">
      <formula>MOD(ROW(),2)=0</formula>
    </cfRule>
  </conditionalFormatting>
  <conditionalFormatting sqref="H432">
    <cfRule type="expression" dxfId="0" priority="356">
      <formula>MOD(ROW(),2)=0</formula>
    </cfRule>
  </conditionalFormatting>
  <conditionalFormatting sqref="I432">
    <cfRule type="expression" dxfId="0" priority="472">
      <formula>MOD(ROW(),2)=0</formula>
    </cfRule>
  </conditionalFormatting>
  <conditionalFormatting sqref="H433">
    <cfRule type="expression" dxfId="0" priority="178">
      <formula>MOD(ROW(),2)=0</formula>
    </cfRule>
  </conditionalFormatting>
  <conditionalFormatting sqref="I433">
    <cfRule type="expression" dxfId="0" priority="179">
      <formula>MOD(ROW(),2)=0</formula>
    </cfRule>
  </conditionalFormatting>
  <conditionalFormatting sqref="H434">
    <cfRule type="expression" dxfId="0" priority="355">
      <formula>MOD(ROW(),2)=0</formula>
    </cfRule>
  </conditionalFormatting>
  <conditionalFormatting sqref="I434">
    <cfRule type="expression" dxfId="0" priority="471">
      <formula>MOD(ROW(),2)=0</formula>
    </cfRule>
  </conditionalFormatting>
  <conditionalFormatting sqref="H435">
    <cfRule type="expression" dxfId="0" priority="354">
      <formula>MOD(ROW(),2)=0</formula>
    </cfRule>
  </conditionalFormatting>
  <conditionalFormatting sqref="I435">
    <cfRule type="expression" dxfId="0" priority="470">
      <formula>MOD(ROW(),2)=0</formula>
    </cfRule>
  </conditionalFormatting>
  <conditionalFormatting sqref="H436">
    <cfRule type="expression" dxfId="0" priority="353">
      <formula>MOD(ROW(),2)=0</formula>
    </cfRule>
  </conditionalFormatting>
  <conditionalFormatting sqref="I436">
    <cfRule type="expression" dxfId="0" priority="469">
      <formula>MOD(ROW(),2)=0</formula>
    </cfRule>
  </conditionalFormatting>
  <conditionalFormatting sqref="H437">
    <cfRule type="expression" dxfId="0" priority="352">
      <formula>MOD(ROW(),2)=0</formula>
    </cfRule>
  </conditionalFormatting>
  <conditionalFormatting sqref="I437">
    <cfRule type="expression" dxfId="0" priority="468">
      <formula>MOD(ROW(),2)=0</formula>
    </cfRule>
  </conditionalFormatting>
  <conditionalFormatting sqref="H438">
    <cfRule type="expression" dxfId="0" priority="351">
      <formula>MOD(ROW(),2)=0</formula>
    </cfRule>
  </conditionalFormatting>
  <conditionalFormatting sqref="I438">
    <cfRule type="expression" dxfId="0" priority="467">
      <formula>MOD(ROW(),2)=0</formula>
    </cfRule>
  </conditionalFormatting>
  <conditionalFormatting sqref="H439">
    <cfRule type="expression" dxfId="0" priority="150">
      <formula>MOD(ROW(),2)=0</formula>
    </cfRule>
  </conditionalFormatting>
  <conditionalFormatting sqref="I439">
    <cfRule type="expression" dxfId="0" priority="151">
      <formula>MOD(ROW(),2)=0</formula>
    </cfRule>
  </conditionalFormatting>
  <conditionalFormatting sqref="H440">
    <cfRule type="expression" dxfId="0" priority="350">
      <formula>MOD(ROW(),2)=0</formula>
    </cfRule>
  </conditionalFormatting>
  <conditionalFormatting sqref="I440">
    <cfRule type="expression" dxfId="0" priority="466">
      <formula>MOD(ROW(),2)=0</formula>
    </cfRule>
  </conditionalFormatting>
  <conditionalFormatting sqref="H441">
    <cfRule type="expression" dxfId="0" priority="96">
      <formula>MOD(ROW(),2)=0</formula>
    </cfRule>
  </conditionalFormatting>
  <conditionalFormatting sqref="I441">
    <cfRule type="expression" dxfId="0" priority="97">
      <formula>MOD(ROW(),2)=0</formula>
    </cfRule>
  </conditionalFormatting>
  <conditionalFormatting sqref="H442">
    <cfRule type="expression" dxfId="0" priority="349">
      <formula>MOD(ROW(),2)=0</formula>
    </cfRule>
  </conditionalFormatting>
  <conditionalFormatting sqref="I442">
    <cfRule type="expression" dxfId="0" priority="465">
      <formula>MOD(ROW(),2)=0</formula>
    </cfRule>
  </conditionalFormatting>
  <conditionalFormatting sqref="H443">
    <cfRule type="expression" dxfId="0" priority="348">
      <formula>MOD(ROW(),2)=0</formula>
    </cfRule>
  </conditionalFormatting>
  <conditionalFormatting sqref="I443">
    <cfRule type="expression" dxfId="0" priority="464">
      <formula>MOD(ROW(),2)=0</formula>
    </cfRule>
  </conditionalFormatting>
  <conditionalFormatting sqref="H444">
    <cfRule type="expression" dxfId="0" priority="347">
      <formula>MOD(ROW(),2)=0</formula>
    </cfRule>
  </conditionalFormatting>
  <conditionalFormatting sqref="I444">
    <cfRule type="expression" dxfId="0" priority="463">
      <formula>MOD(ROW(),2)=0</formula>
    </cfRule>
  </conditionalFormatting>
  <conditionalFormatting sqref="H445">
    <cfRule type="expression" dxfId="0" priority="346">
      <formula>MOD(ROW(),2)=0</formula>
    </cfRule>
  </conditionalFormatting>
  <conditionalFormatting sqref="I445">
    <cfRule type="expression" dxfId="0" priority="462">
      <formula>MOD(ROW(),2)=0</formula>
    </cfRule>
  </conditionalFormatting>
  <conditionalFormatting sqref="H446">
    <cfRule type="expression" dxfId="0" priority="345">
      <formula>MOD(ROW(),2)=0</formula>
    </cfRule>
  </conditionalFormatting>
  <conditionalFormatting sqref="I446">
    <cfRule type="expression" dxfId="0" priority="461">
      <formula>MOD(ROW(),2)=0</formula>
    </cfRule>
  </conditionalFormatting>
  <conditionalFormatting sqref="H447">
    <cfRule type="expression" dxfId="0" priority="344">
      <formula>MOD(ROW(),2)=0</formula>
    </cfRule>
  </conditionalFormatting>
  <conditionalFormatting sqref="I447">
    <cfRule type="expression" dxfId="0" priority="460">
      <formula>MOD(ROW(),2)=0</formula>
    </cfRule>
  </conditionalFormatting>
  <conditionalFormatting sqref="H448">
    <cfRule type="expression" dxfId="0" priority="136">
      <formula>MOD(ROW(),2)=0</formula>
    </cfRule>
  </conditionalFormatting>
  <conditionalFormatting sqref="I448">
    <cfRule type="expression" dxfId="0" priority="137">
      <formula>MOD(ROW(),2)=0</formula>
    </cfRule>
  </conditionalFormatting>
  <conditionalFormatting sqref="H452">
    <cfRule type="expression" dxfId="0" priority="84">
      <formula>MOD(ROW(),2)=0</formula>
    </cfRule>
  </conditionalFormatting>
  <conditionalFormatting sqref="I452">
    <cfRule type="expression" dxfId="0" priority="85">
      <formula>MOD(ROW(),2)=0</formula>
    </cfRule>
  </conditionalFormatting>
  <conditionalFormatting sqref="H453">
    <cfRule type="expression" dxfId="0" priority="342">
      <formula>MOD(ROW(),2)=0</formula>
    </cfRule>
  </conditionalFormatting>
  <conditionalFormatting sqref="I453">
    <cfRule type="expression" dxfId="0" priority="458">
      <formula>MOD(ROW(),2)=0</formula>
    </cfRule>
  </conditionalFormatting>
  <conditionalFormatting sqref="H454">
    <cfRule type="expression" dxfId="0" priority="160">
      <formula>MOD(ROW(),2)=0</formula>
    </cfRule>
  </conditionalFormatting>
  <conditionalFormatting sqref="I454">
    <cfRule type="expression" dxfId="0" priority="161">
      <formula>MOD(ROW(),2)=0</formula>
    </cfRule>
  </conditionalFormatting>
  <conditionalFormatting sqref="H455">
    <cfRule type="expression" dxfId="0" priority="340">
      <formula>MOD(ROW(),2)=0</formula>
    </cfRule>
  </conditionalFormatting>
  <conditionalFormatting sqref="I455">
    <cfRule type="expression" dxfId="0" priority="456">
      <formula>MOD(ROW(),2)=0</formula>
    </cfRule>
  </conditionalFormatting>
  <conditionalFormatting sqref="H456">
    <cfRule type="expression" dxfId="0" priority="339">
      <formula>MOD(ROW(),2)=0</formula>
    </cfRule>
  </conditionalFormatting>
  <conditionalFormatting sqref="I456">
    <cfRule type="expression" dxfId="0" priority="455">
      <formula>MOD(ROW(),2)=0</formula>
    </cfRule>
  </conditionalFormatting>
  <conditionalFormatting sqref="H457">
    <cfRule type="expression" dxfId="0" priority="338">
      <formula>MOD(ROW(),2)=0</formula>
    </cfRule>
  </conditionalFormatting>
  <conditionalFormatting sqref="I457">
    <cfRule type="expression" dxfId="0" priority="454">
      <formula>MOD(ROW(),2)=0</formula>
    </cfRule>
  </conditionalFormatting>
  <conditionalFormatting sqref="H458">
    <cfRule type="expression" dxfId="0" priority="156">
      <formula>MOD(ROW(),2)=0</formula>
    </cfRule>
  </conditionalFormatting>
  <conditionalFormatting sqref="I458">
    <cfRule type="expression" dxfId="0" priority="157">
      <formula>MOD(ROW(),2)=0</formula>
    </cfRule>
  </conditionalFormatting>
  <conditionalFormatting sqref="H459">
    <cfRule type="expression" dxfId="0" priority="336">
      <formula>MOD(ROW(),2)=0</formula>
    </cfRule>
  </conditionalFormatting>
  <conditionalFormatting sqref="I459">
    <cfRule type="expression" dxfId="0" priority="452">
      <formula>MOD(ROW(),2)=0</formula>
    </cfRule>
  </conditionalFormatting>
  <conditionalFormatting sqref="H460">
    <cfRule type="expression" dxfId="0" priority="335">
      <formula>MOD(ROW(),2)=0</formula>
    </cfRule>
  </conditionalFormatting>
  <conditionalFormatting sqref="I460">
    <cfRule type="expression" dxfId="0" priority="451">
      <formula>MOD(ROW(),2)=0</formula>
    </cfRule>
  </conditionalFormatting>
  <conditionalFormatting sqref="H461">
    <cfRule type="expression" dxfId="0" priority="334">
      <formula>MOD(ROW(),2)=0</formula>
    </cfRule>
  </conditionalFormatting>
  <conditionalFormatting sqref="I461">
    <cfRule type="expression" dxfId="0" priority="450">
      <formula>MOD(ROW(),2)=0</formula>
    </cfRule>
  </conditionalFormatting>
  <conditionalFormatting sqref="H462">
    <cfRule type="expression" dxfId="0" priority="158">
      <formula>MOD(ROW(),2)=0</formula>
    </cfRule>
  </conditionalFormatting>
  <conditionalFormatting sqref="I462">
    <cfRule type="expression" dxfId="0" priority="159">
      <formula>MOD(ROW(),2)=0</formula>
    </cfRule>
  </conditionalFormatting>
  <conditionalFormatting sqref="H463">
    <cfRule type="expression" dxfId="0" priority="331">
      <formula>MOD(ROW(),2)=0</formula>
    </cfRule>
  </conditionalFormatting>
  <conditionalFormatting sqref="I463">
    <cfRule type="expression" dxfId="0" priority="447">
      <formula>MOD(ROW(),2)=0</formula>
    </cfRule>
  </conditionalFormatting>
  <conditionalFormatting sqref="H464">
    <cfRule type="expression" dxfId="0" priority="330">
      <formula>MOD(ROW(),2)=0</formula>
    </cfRule>
  </conditionalFormatting>
  <conditionalFormatting sqref="I464">
    <cfRule type="expression" dxfId="0" priority="446">
      <formula>MOD(ROW(),2)=0</formula>
    </cfRule>
  </conditionalFormatting>
  <conditionalFormatting sqref="H465">
    <cfRule type="expression" dxfId="0" priority="329">
      <formula>MOD(ROW(),2)=0</formula>
    </cfRule>
  </conditionalFormatting>
  <conditionalFormatting sqref="I465">
    <cfRule type="expression" dxfId="0" priority="445">
      <formula>MOD(ROW(),2)=0</formula>
    </cfRule>
  </conditionalFormatting>
  <conditionalFormatting sqref="H466">
    <cfRule type="expression" dxfId="0" priority="328">
      <formula>MOD(ROW(),2)=0</formula>
    </cfRule>
  </conditionalFormatting>
  <conditionalFormatting sqref="I466">
    <cfRule type="expression" dxfId="0" priority="444">
      <formula>MOD(ROW(),2)=0</formula>
    </cfRule>
  </conditionalFormatting>
  <conditionalFormatting sqref="H467">
    <cfRule type="expression" dxfId="0" priority="327">
      <formula>MOD(ROW(),2)=0</formula>
    </cfRule>
  </conditionalFormatting>
  <conditionalFormatting sqref="I467">
    <cfRule type="expression" dxfId="0" priority="443">
      <formula>MOD(ROW(),2)=0</formula>
    </cfRule>
  </conditionalFormatting>
  <conditionalFormatting sqref="H468">
    <cfRule type="expression" dxfId="0" priority="326">
      <formula>MOD(ROW(),2)=0</formula>
    </cfRule>
  </conditionalFormatting>
  <conditionalFormatting sqref="I468">
    <cfRule type="expression" dxfId="0" priority="442">
      <formula>MOD(ROW(),2)=0</formula>
    </cfRule>
  </conditionalFormatting>
  <conditionalFormatting sqref="H469">
    <cfRule type="expression" dxfId="0" priority="154">
      <formula>MOD(ROW(),2)=0</formula>
    </cfRule>
  </conditionalFormatting>
  <conditionalFormatting sqref="I469">
    <cfRule type="expression" dxfId="0" priority="155">
      <formula>MOD(ROW(),2)=0</formula>
    </cfRule>
  </conditionalFormatting>
  <conditionalFormatting sqref="H470">
    <cfRule type="expression" dxfId="0" priority="152">
      <formula>MOD(ROW(),2)=0</formula>
    </cfRule>
  </conditionalFormatting>
  <conditionalFormatting sqref="I470">
    <cfRule type="expression" dxfId="0" priority="153">
      <formula>MOD(ROW(),2)=0</formula>
    </cfRule>
  </conditionalFormatting>
  <conditionalFormatting sqref="H471">
    <cfRule type="expression" dxfId="0" priority="74">
      <formula>MOD(ROW(),2)=0</formula>
    </cfRule>
  </conditionalFormatting>
  <conditionalFormatting sqref="I471">
    <cfRule type="expression" dxfId="0" priority="76">
      <formula>MOD(ROW(),2)=0</formula>
    </cfRule>
  </conditionalFormatting>
  <conditionalFormatting sqref="H472">
    <cfRule type="expression" dxfId="0" priority="73">
      <formula>MOD(ROW(),2)=0</formula>
    </cfRule>
  </conditionalFormatting>
  <conditionalFormatting sqref="I472">
    <cfRule type="expression" dxfId="0" priority="75">
      <formula>MOD(ROW(),2)=0</formula>
    </cfRule>
  </conditionalFormatting>
  <conditionalFormatting sqref="H473">
    <cfRule type="expression" dxfId="0" priority="82">
      <formula>MOD(ROW(),2)=0</formula>
    </cfRule>
  </conditionalFormatting>
  <conditionalFormatting sqref="I473">
    <cfRule type="expression" dxfId="0" priority="83">
      <formula>MOD(ROW(),2)=0</formula>
    </cfRule>
  </conditionalFormatting>
  <conditionalFormatting sqref="H474">
    <cfRule type="expression" dxfId="0" priority="132">
      <formula>MOD(ROW(),2)=0</formula>
    </cfRule>
  </conditionalFormatting>
  <conditionalFormatting sqref="I474">
    <cfRule type="expression" dxfId="0" priority="135">
      <formula>MOD(ROW(),2)=0</formula>
    </cfRule>
  </conditionalFormatting>
  <conditionalFormatting sqref="H475">
    <cfRule type="expression" dxfId="0" priority="131">
      <formula>MOD(ROW(),2)=0</formula>
    </cfRule>
  </conditionalFormatting>
  <conditionalFormatting sqref="I475">
    <cfRule type="expression" dxfId="0" priority="134">
      <formula>MOD(ROW(),2)=0</formula>
    </cfRule>
  </conditionalFormatting>
  <conditionalFormatting sqref="H476">
    <cfRule type="expression" dxfId="0" priority="130">
      <formula>MOD(ROW(),2)=0</formula>
    </cfRule>
  </conditionalFormatting>
  <conditionalFormatting sqref="I476">
    <cfRule type="expression" dxfId="0" priority="133">
      <formula>MOD(ROW(),2)=0</formula>
    </cfRule>
  </conditionalFormatting>
  <conditionalFormatting sqref="H477">
    <cfRule type="expression" dxfId="0" priority="128">
      <formula>MOD(ROW(),2)=0</formula>
    </cfRule>
  </conditionalFormatting>
  <conditionalFormatting sqref="I477">
    <cfRule type="expression" dxfId="0" priority="129">
      <formula>MOD(ROW(),2)=0</formula>
    </cfRule>
  </conditionalFormatting>
  <conditionalFormatting sqref="H478">
    <cfRule type="expression" dxfId="0" priority="126">
      <formula>MOD(ROW(),2)=0</formula>
    </cfRule>
  </conditionalFormatting>
  <conditionalFormatting sqref="I478">
    <cfRule type="expression" dxfId="0" priority="127">
      <formula>MOD(ROW(),2)=0</formula>
    </cfRule>
  </conditionalFormatting>
  <conditionalFormatting sqref="H479">
    <cfRule type="expression" dxfId="0" priority="325">
      <formula>MOD(ROW(),2)=0</formula>
    </cfRule>
  </conditionalFormatting>
  <conditionalFormatting sqref="I479">
    <cfRule type="expression" dxfId="0" priority="441">
      <formula>MOD(ROW(),2)=0</formula>
    </cfRule>
  </conditionalFormatting>
  <conditionalFormatting sqref="H480">
    <cfRule type="expression" dxfId="0" priority="324">
      <formula>MOD(ROW(),2)=0</formula>
    </cfRule>
  </conditionalFormatting>
  <conditionalFormatting sqref="I480">
    <cfRule type="expression" dxfId="0" priority="440">
      <formula>MOD(ROW(),2)=0</formula>
    </cfRule>
  </conditionalFormatting>
  <conditionalFormatting sqref="H481">
    <cfRule type="expression" dxfId="0" priority="323">
      <formula>MOD(ROW(),2)=0</formula>
    </cfRule>
  </conditionalFormatting>
  <conditionalFormatting sqref="I481">
    <cfRule type="expression" dxfId="0" priority="439">
      <formula>MOD(ROW(),2)=0</formula>
    </cfRule>
  </conditionalFormatting>
  <conditionalFormatting sqref="H482">
    <cfRule type="expression" dxfId="0" priority="322">
      <formula>MOD(ROW(),2)=0</formula>
    </cfRule>
  </conditionalFormatting>
  <conditionalFormatting sqref="I482">
    <cfRule type="expression" dxfId="0" priority="438">
      <formula>MOD(ROW(),2)=0</formula>
    </cfRule>
  </conditionalFormatting>
  <conditionalFormatting sqref="H483">
    <cfRule type="expression" dxfId="0" priority="321">
      <formula>MOD(ROW(),2)=0</formula>
    </cfRule>
  </conditionalFormatting>
  <conditionalFormatting sqref="I483">
    <cfRule type="expression" dxfId="0" priority="437">
      <formula>MOD(ROW(),2)=0</formula>
    </cfRule>
  </conditionalFormatting>
  <conditionalFormatting sqref="H484">
    <cfRule type="expression" dxfId="0" priority="320">
      <formula>MOD(ROW(),2)=0</formula>
    </cfRule>
  </conditionalFormatting>
  <conditionalFormatting sqref="I484">
    <cfRule type="expression" dxfId="0" priority="436">
      <formula>MOD(ROW(),2)=0</formula>
    </cfRule>
  </conditionalFormatting>
  <conditionalFormatting sqref="H485">
    <cfRule type="expression" dxfId="0" priority="319">
      <formula>MOD(ROW(),2)=0</formula>
    </cfRule>
  </conditionalFormatting>
  <conditionalFormatting sqref="I485">
    <cfRule type="expression" dxfId="0" priority="435">
      <formula>MOD(ROW(),2)=0</formula>
    </cfRule>
  </conditionalFormatting>
  <conditionalFormatting sqref="H486">
    <cfRule type="expression" dxfId="0" priority="318">
      <formula>MOD(ROW(),2)=0</formula>
    </cfRule>
  </conditionalFormatting>
  <conditionalFormatting sqref="I486">
    <cfRule type="expression" dxfId="0" priority="434">
      <formula>MOD(ROW(),2)=0</formula>
    </cfRule>
  </conditionalFormatting>
  <conditionalFormatting sqref="H487">
    <cfRule type="expression" dxfId="0" priority="317">
      <formula>MOD(ROW(),2)=0</formula>
    </cfRule>
  </conditionalFormatting>
  <conditionalFormatting sqref="I487">
    <cfRule type="expression" dxfId="0" priority="433">
      <formula>MOD(ROW(),2)=0</formula>
    </cfRule>
  </conditionalFormatting>
  <conditionalFormatting sqref="H488">
    <cfRule type="expression" dxfId="0" priority="124">
      <formula>MOD(ROW(),2)=0</formula>
    </cfRule>
  </conditionalFormatting>
  <conditionalFormatting sqref="I488">
    <cfRule type="expression" dxfId="0" priority="125">
      <formula>MOD(ROW(),2)=0</formula>
    </cfRule>
  </conditionalFormatting>
  <conditionalFormatting sqref="H489">
    <cfRule type="expression" dxfId="0" priority="122">
      <formula>MOD(ROW(),2)=0</formula>
    </cfRule>
  </conditionalFormatting>
  <conditionalFormatting sqref="I489">
    <cfRule type="expression" dxfId="0" priority="123">
      <formula>MOD(ROW(),2)=0</formula>
    </cfRule>
  </conditionalFormatting>
  <conditionalFormatting sqref="H490">
    <cfRule type="expression" dxfId="0" priority="120">
      <formula>MOD(ROW(),2)=0</formula>
    </cfRule>
  </conditionalFormatting>
  <conditionalFormatting sqref="I490">
    <cfRule type="expression" dxfId="0" priority="121">
      <formula>MOD(ROW(),2)=0</formula>
    </cfRule>
  </conditionalFormatting>
  <conditionalFormatting sqref="H491">
    <cfRule type="expression" dxfId="0" priority="316">
      <formula>MOD(ROW(),2)=0</formula>
    </cfRule>
  </conditionalFormatting>
  <conditionalFormatting sqref="I491">
    <cfRule type="expression" dxfId="0" priority="432">
      <formula>MOD(ROW(),2)=0</formula>
    </cfRule>
  </conditionalFormatting>
  <conditionalFormatting sqref="H492">
    <cfRule type="expression" dxfId="0" priority="315">
      <formula>MOD(ROW(),2)=0</formula>
    </cfRule>
  </conditionalFormatting>
  <conditionalFormatting sqref="I492">
    <cfRule type="expression" dxfId="0" priority="431">
      <formula>MOD(ROW(),2)=0</formula>
    </cfRule>
  </conditionalFormatting>
  <conditionalFormatting sqref="H493">
    <cfRule type="expression" dxfId="0" priority="314">
      <formula>MOD(ROW(),2)=0</formula>
    </cfRule>
  </conditionalFormatting>
  <conditionalFormatting sqref="I493">
    <cfRule type="expression" dxfId="0" priority="430">
      <formula>MOD(ROW(),2)=0</formula>
    </cfRule>
  </conditionalFormatting>
  <conditionalFormatting sqref="H494">
    <cfRule type="expression" dxfId="0" priority="102">
      <formula>MOD(ROW(),2)=0</formula>
    </cfRule>
  </conditionalFormatting>
  <conditionalFormatting sqref="I494">
    <cfRule type="expression" dxfId="0" priority="103">
      <formula>MOD(ROW(),2)=0</formula>
    </cfRule>
  </conditionalFormatting>
  <conditionalFormatting sqref="H495">
    <cfRule type="expression" dxfId="0" priority="293">
      <formula>MOD(ROW(),2)=0</formula>
    </cfRule>
  </conditionalFormatting>
  <conditionalFormatting sqref="I495">
    <cfRule type="expression" dxfId="0" priority="409">
      <formula>MOD(ROW(),2)=0</formula>
    </cfRule>
  </conditionalFormatting>
  <conditionalFormatting sqref="H496">
    <cfRule type="expression" dxfId="0" priority="292">
      <formula>MOD(ROW(),2)=0</formula>
    </cfRule>
  </conditionalFormatting>
  <conditionalFormatting sqref="I496">
    <cfRule type="expression" dxfId="0" priority="408">
      <formula>MOD(ROW(),2)=0</formula>
    </cfRule>
  </conditionalFormatting>
  <conditionalFormatting sqref="H497">
    <cfRule type="expression" dxfId="0" priority="1">
      <formula>MOD(ROW(),2)=0</formula>
    </cfRule>
  </conditionalFormatting>
  <conditionalFormatting sqref="I497">
    <cfRule type="expression" dxfId="0" priority="2">
      <formula>MOD(ROW(),2)=0</formula>
    </cfRule>
  </conditionalFormatting>
  <conditionalFormatting sqref="H498">
    <cfRule type="expression" dxfId="0" priority="313">
      <formula>MOD(ROW(),2)=0</formula>
    </cfRule>
  </conditionalFormatting>
  <conditionalFormatting sqref="I498">
    <cfRule type="expression" dxfId="0" priority="429">
      <formula>MOD(ROW(),2)=0</formula>
    </cfRule>
  </conditionalFormatting>
  <conditionalFormatting sqref="H499">
    <cfRule type="expression" dxfId="0" priority="312">
      <formula>MOD(ROW(),2)=0</formula>
    </cfRule>
  </conditionalFormatting>
  <conditionalFormatting sqref="I499">
    <cfRule type="expression" dxfId="0" priority="428">
      <formula>MOD(ROW(),2)=0</formula>
    </cfRule>
  </conditionalFormatting>
  <conditionalFormatting sqref="H500">
    <cfRule type="expression" dxfId="0" priority="311">
      <formula>MOD(ROW(),2)=0</formula>
    </cfRule>
  </conditionalFormatting>
  <conditionalFormatting sqref="I500">
    <cfRule type="expression" dxfId="0" priority="427">
      <formula>MOD(ROW(),2)=0</formula>
    </cfRule>
  </conditionalFormatting>
  <conditionalFormatting sqref="H501">
    <cfRule type="expression" dxfId="0" priority="310">
      <formula>MOD(ROW(),2)=0</formula>
    </cfRule>
  </conditionalFormatting>
  <conditionalFormatting sqref="I501">
    <cfRule type="expression" dxfId="0" priority="426">
      <formula>MOD(ROW(),2)=0</formula>
    </cfRule>
  </conditionalFormatting>
  <conditionalFormatting sqref="H502">
    <cfRule type="expression" dxfId="0" priority="309">
      <formula>MOD(ROW(),2)=0</formula>
    </cfRule>
  </conditionalFormatting>
  <conditionalFormatting sqref="I502">
    <cfRule type="expression" dxfId="0" priority="425">
      <formula>MOD(ROW(),2)=0</formula>
    </cfRule>
  </conditionalFormatting>
  <conditionalFormatting sqref="H503">
    <cfRule type="expression" dxfId="0" priority="308">
      <formula>MOD(ROW(),2)=0</formula>
    </cfRule>
  </conditionalFormatting>
  <conditionalFormatting sqref="I503">
    <cfRule type="expression" dxfId="0" priority="424">
      <formula>MOD(ROW(),2)=0</formula>
    </cfRule>
  </conditionalFormatting>
  <conditionalFormatting sqref="H504">
    <cfRule type="expression" dxfId="0" priority="307">
      <formula>MOD(ROW(),2)=0</formula>
    </cfRule>
  </conditionalFormatting>
  <conditionalFormatting sqref="I504">
    <cfRule type="expression" dxfId="0" priority="423">
      <formula>MOD(ROW(),2)=0</formula>
    </cfRule>
  </conditionalFormatting>
  <conditionalFormatting sqref="H505">
    <cfRule type="expression" dxfId="0" priority="306">
      <formula>MOD(ROW(),2)=0</formula>
    </cfRule>
  </conditionalFormatting>
  <conditionalFormatting sqref="I505">
    <cfRule type="expression" dxfId="0" priority="422">
      <formula>MOD(ROW(),2)=0</formula>
    </cfRule>
  </conditionalFormatting>
  <conditionalFormatting sqref="H506">
    <cfRule type="expression" dxfId="0" priority="305">
      <formula>MOD(ROW(),2)=0</formula>
    </cfRule>
  </conditionalFormatting>
  <conditionalFormatting sqref="I506">
    <cfRule type="expression" dxfId="0" priority="421">
      <formula>MOD(ROW(),2)=0</formula>
    </cfRule>
  </conditionalFormatting>
  <conditionalFormatting sqref="H507">
    <cfRule type="expression" dxfId="0" priority="304">
      <formula>MOD(ROW(),2)=0</formula>
    </cfRule>
  </conditionalFormatting>
  <conditionalFormatting sqref="I507">
    <cfRule type="expression" dxfId="0" priority="420">
      <formula>MOD(ROW(),2)=0</formula>
    </cfRule>
  </conditionalFormatting>
  <conditionalFormatting sqref="H508">
    <cfRule type="expression" dxfId="0" priority="148">
      <formula>MOD(ROW(),2)=0</formula>
    </cfRule>
  </conditionalFormatting>
  <conditionalFormatting sqref="I508">
    <cfRule type="expression" dxfId="0" priority="149">
      <formula>MOD(ROW(),2)=0</formula>
    </cfRule>
  </conditionalFormatting>
  <conditionalFormatting sqref="H509">
    <cfRule type="expression" dxfId="0" priority="146">
      <formula>MOD(ROW(),2)=0</formula>
    </cfRule>
  </conditionalFormatting>
  <conditionalFormatting sqref="I509">
    <cfRule type="expression" dxfId="0" priority="147">
      <formula>MOD(ROW(),2)=0</formula>
    </cfRule>
  </conditionalFormatting>
  <conditionalFormatting sqref="H510">
    <cfRule type="expression" dxfId="0" priority="301">
      <formula>MOD(ROW(),2)=0</formula>
    </cfRule>
  </conditionalFormatting>
  <conditionalFormatting sqref="I510">
    <cfRule type="expression" dxfId="0" priority="417">
      <formula>MOD(ROW(),2)=0</formula>
    </cfRule>
  </conditionalFormatting>
  <conditionalFormatting sqref="H511">
    <cfRule type="expression" dxfId="0" priority="300">
      <formula>MOD(ROW(),2)=0</formula>
    </cfRule>
  </conditionalFormatting>
  <conditionalFormatting sqref="I511">
    <cfRule type="expression" dxfId="0" priority="416">
      <formula>MOD(ROW(),2)=0</formula>
    </cfRule>
  </conditionalFormatting>
  <conditionalFormatting sqref="H512">
    <cfRule type="expression" dxfId="0" priority="299">
      <formula>MOD(ROW(),2)=0</formula>
    </cfRule>
  </conditionalFormatting>
  <conditionalFormatting sqref="I512">
    <cfRule type="expression" dxfId="0" priority="415">
      <formula>MOD(ROW(),2)=0</formula>
    </cfRule>
  </conditionalFormatting>
  <conditionalFormatting sqref="H513">
    <cfRule type="expression" dxfId="0" priority="298">
      <formula>MOD(ROW(),2)=0</formula>
    </cfRule>
  </conditionalFormatting>
  <conditionalFormatting sqref="I513">
    <cfRule type="expression" dxfId="0" priority="414">
      <formula>MOD(ROW(),2)=0</formula>
    </cfRule>
  </conditionalFormatting>
  <conditionalFormatting sqref="H514">
    <cfRule type="expression" dxfId="0" priority="100">
      <formula>MOD(ROW(),2)=0</formula>
    </cfRule>
  </conditionalFormatting>
  <conditionalFormatting sqref="I514">
    <cfRule type="expression" dxfId="0" priority="101">
      <formula>MOD(ROW(),2)=0</formula>
    </cfRule>
  </conditionalFormatting>
  <conditionalFormatting sqref="H515">
    <cfRule type="expression" dxfId="0" priority="297">
      <formula>MOD(ROW(),2)=0</formula>
    </cfRule>
  </conditionalFormatting>
  <conditionalFormatting sqref="I515">
    <cfRule type="expression" dxfId="0" priority="413">
      <formula>MOD(ROW(),2)=0</formula>
    </cfRule>
  </conditionalFormatting>
  <conditionalFormatting sqref="H516">
    <cfRule type="expression" dxfId="0" priority="296">
      <formula>MOD(ROW(),2)=0</formula>
    </cfRule>
  </conditionalFormatting>
  <conditionalFormatting sqref="I516">
    <cfRule type="expression" dxfId="0" priority="412">
      <formula>MOD(ROW(),2)=0</formula>
    </cfRule>
  </conditionalFormatting>
  <conditionalFormatting sqref="H517">
    <cfRule type="expression" dxfId="0" priority="295">
      <formula>MOD(ROW(),2)=0</formula>
    </cfRule>
  </conditionalFormatting>
  <conditionalFormatting sqref="I517">
    <cfRule type="expression" dxfId="0" priority="411">
      <formula>MOD(ROW(),2)=0</formula>
    </cfRule>
  </conditionalFormatting>
  <conditionalFormatting sqref="H518">
    <cfRule type="expression" dxfId="0" priority="118">
      <formula>MOD(ROW(),2)=0</formula>
    </cfRule>
  </conditionalFormatting>
  <conditionalFormatting sqref="I518">
    <cfRule type="expression" dxfId="0" priority="119">
      <formula>MOD(ROW(),2)=0</formula>
    </cfRule>
  </conditionalFormatting>
  <conditionalFormatting sqref="H519">
    <cfRule type="expression" dxfId="0" priority="294">
      <formula>MOD(ROW(),2)=0</formula>
    </cfRule>
  </conditionalFormatting>
  <conditionalFormatting sqref="I519">
    <cfRule type="expression" dxfId="0" priority="410">
      <formula>MOD(ROW(),2)=0</formula>
    </cfRule>
  </conditionalFormatting>
  <conditionalFormatting sqref="H520">
    <cfRule type="expression" dxfId="0" priority="98">
      <formula>MOD(ROW(),2)=0</formula>
    </cfRule>
  </conditionalFormatting>
  <conditionalFormatting sqref="I520">
    <cfRule type="expression" dxfId="0" priority="99">
      <formula>MOD(ROW(),2)=0</formula>
    </cfRule>
  </conditionalFormatting>
  <conditionalFormatting sqref="H521">
    <cfRule type="expression" dxfId="0" priority="116">
      <formula>MOD(ROW(),2)=0</formula>
    </cfRule>
  </conditionalFormatting>
  <conditionalFormatting sqref="I521">
    <cfRule type="expression" dxfId="0" priority="117">
      <formula>MOD(ROW(),2)=0</formula>
    </cfRule>
  </conditionalFormatting>
  <conditionalFormatting sqref="H522">
    <cfRule type="expression" dxfId="0" priority="112">
      <formula>MOD(ROW(),2)=0</formula>
    </cfRule>
  </conditionalFormatting>
  <conditionalFormatting sqref="I522">
    <cfRule type="expression" dxfId="0" priority="113">
      <formula>MOD(ROW(),2)=0</formula>
    </cfRule>
  </conditionalFormatting>
  <conditionalFormatting sqref="H523">
    <cfRule type="expression" dxfId="0" priority="110">
      <formula>MOD(ROW(),2)=0</formula>
    </cfRule>
  </conditionalFormatting>
  <conditionalFormatting sqref="I523">
    <cfRule type="expression" dxfId="0" priority="111">
      <formula>MOD(ROW(),2)=0</formula>
    </cfRule>
  </conditionalFormatting>
  <conditionalFormatting sqref="H524">
    <cfRule type="expression" dxfId="0" priority="108">
      <formula>MOD(ROW(),2)=0</formula>
    </cfRule>
  </conditionalFormatting>
  <conditionalFormatting sqref="I524">
    <cfRule type="expression" dxfId="0" priority="109">
      <formula>MOD(ROW(),2)=0</formula>
    </cfRule>
  </conditionalFormatting>
  <conditionalFormatting sqref="H525">
    <cfRule type="expression" dxfId="0" priority="106">
      <formula>MOD(ROW(),2)=0</formula>
    </cfRule>
  </conditionalFormatting>
  <conditionalFormatting sqref="I525">
    <cfRule type="expression" dxfId="0" priority="107">
      <formula>MOD(ROW(),2)=0</formula>
    </cfRule>
  </conditionalFormatting>
  <conditionalFormatting sqref="H526">
    <cfRule type="expression" dxfId="0" priority="104">
      <formula>MOD(ROW(),2)=0</formula>
    </cfRule>
  </conditionalFormatting>
  <conditionalFormatting sqref="H527">
    <cfRule type="expression" dxfId="0" priority="56">
      <formula>MOD(ROW(),2)=0</formula>
    </cfRule>
  </conditionalFormatting>
  <conditionalFormatting sqref="H528">
    <cfRule type="expression" dxfId="0" priority="55">
      <formula>MOD(ROW(),2)=0</formula>
    </cfRule>
  </conditionalFormatting>
  <conditionalFormatting sqref="H529">
    <cfRule type="expression" dxfId="0" priority="54">
      <formula>MOD(ROW(),2)=0</formula>
    </cfRule>
  </conditionalFormatting>
  <conditionalFormatting sqref="H530">
    <cfRule type="expression" dxfId="0" priority="53">
      <formula>MOD(ROW(),2)=0</formula>
    </cfRule>
  </conditionalFormatting>
  <conditionalFormatting sqref="H531">
    <cfRule type="expression" dxfId="0" priority="50">
      <formula>MOD(ROW(),2)=0</formula>
    </cfRule>
  </conditionalFormatting>
  <conditionalFormatting sqref="I531">
    <cfRule type="expression" dxfId="0" priority="52">
      <formula>MOD(ROW(),2)=0</formula>
    </cfRule>
  </conditionalFormatting>
  <conditionalFormatting sqref="H532">
    <cfRule type="expression" dxfId="0" priority="49">
      <formula>MOD(ROW(),2)=0</formula>
    </cfRule>
  </conditionalFormatting>
  <conditionalFormatting sqref="I532">
    <cfRule type="expression" dxfId="0" priority="51">
      <formula>MOD(ROW(),2)=0</formula>
    </cfRule>
  </conditionalFormatting>
  <conditionalFormatting sqref="H533">
    <cfRule type="expression" dxfId="0" priority="143">
      <formula>MOD(ROW(),2)=0</formula>
    </cfRule>
  </conditionalFormatting>
  <conditionalFormatting sqref="I533">
    <cfRule type="expression" dxfId="0" priority="145">
      <formula>MOD(ROW(),2)=0</formula>
    </cfRule>
  </conditionalFormatting>
  <conditionalFormatting sqref="H534">
    <cfRule type="expression" dxfId="0" priority="94">
      <formula>MOD(ROW(),2)=0</formula>
    </cfRule>
  </conditionalFormatting>
  <conditionalFormatting sqref="I534">
    <cfRule type="expression" dxfId="0" priority="95">
      <formula>MOD(ROW(),2)=0</formula>
    </cfRule>
  </conditionalFormatting>
  <conditionalFormatting sqref="H535">
    <cfRule type="expression" dxfId="0" priority="142">
      <formula>MOD(ROW(),2)=0</formula>
    </cfRule>
  </conditionalFormatting>
  <conditionalFormatting sqref="I535">
    <cfRule type="expression" dxfId="0" priority="144">
      <formula>MOD(ROW(),2)=0</formula>
    </cfRule>
  </conditionalFormatting>
  <conditionalFormatting sqref="H536">
    <cfRule type="expression" dxfId="0" priority="290">
      <formula>MOD(ROW(),2)=0</formula>
    </cfRule>
  </conditionalFormatting>
  <conditionalFormatting sqref="I536">
    <cfRule type="expression" dxfId="0" priority="406">
      <formula>MOD(ROW(),2)=0</formula>
    </cfRule>
  </conditionalFormatting>
  <conditionalFormatting sqref="H537">
    <cfRule type="expression" dxfId="0" priority="289">
      <formula>MOD(ROW(),2)=0</formula>
    </cfRule>
  </conditionalFormatting>
  <conditionalFormatting sqref="I537">
    <cfRule type="expression" dxfId="0" priority="405">
      <formula>MOD(ROW(),2)=0</formula>
    </cfRule>
  </conditionalFormatting>
  <conditionalFormatting sqref="H538">
    <cfRule type="expression" dxfId="0" priority="288">
      <formula>MOD(ROW(),2)=0</formula>
    </cfRule>
  </conditionalFormatting>
  <conditionalFormatting sqref="I538">
    <cfRule type="expression" dxfId="0" priority="404">
      <formula>MOD(ROW(),2)=0</formula>
    </cfRule>
  </conditionalFormatting>
  <conditionalFormatting sqref="H539">
    <cfRule type="expression" dxfId="0" priority="89">
      <formula>MOD(ROW(),2)=0</formula>
    </cfRule>
  </conditionalFormatting>
  <conditionalFormatting sqref="I539">
    <cfRule type="expression" dxfId="0" priority="91">
      <formula>MOD(ROW(),2)=0</formula>
    </cfRule>
  </conditionalFormatting>
  <conditionalFormatting sqref="H540">
    <cfRule type="expression" dxfId="0" priority="88">
      <formula>MOD(ROW(),2)=0</formula>
    </cfRule>
  </conditionalFormatting>
  <conditionalFormatting sqref="I540">
    <cfRule type="expression" dxfId="0" priority="90">
      <formula>MOD(ROW(),2)=0</formula>
    </cfRule>
  </conditionalFormatting>
  <conditionalFormatting sqref="H541">
    <cfRule type="expression" dxfId="0" priority="287">
      <formula>MOD(ROW(),2)=0</formula>
    </cfRule>
  </conditionalFormatting>
  <conditionalFormatting sqref="I541">
    <cfRule type="expression" dxfId="0" priority="403">
      <formula>MOD(ROW(),2)=0</formula>
    </cfRule>
  </conditionalFormatting>
  <conditionalFormatting sqref="H542">
    <cfRule type="expression" dxfId="0" priority="286">
      <formula>MOD(ROW(),2)=0</formula>
    </cfRule>
  </conditionalFormatting>
  <conditionalFormatting sqref="I542">
    <cfRule type="expression" dxfId="0" priority="402">
      <formula>MOD(ROW(),2)=0</formula>
    </cfRule>
  </conditionalFormatting>
  <conditionalFormatting sqref="H543">
    <cfRule type="expression" dxfId="0" priority="285">
      <formula>MOD(ROW(),2)=0</formula>
    </cfRule>
  </conditionalFormatting>
  <conditionalFormatting sqref="I543">
    <cfRule type="expression" dxfId="0" priority="401">
      <formula>MOD(ROW(),2)=0</formula>
    </cfRule>
  </conditionalFormatting>
  <conditionalFormatting sqref="H544">
    <cfRule type="expression" dxfId="0" priority="284">
      <formula>MOD(ROW(),2)=0</formula>
    </cfRule>
  </conditionalFormatting>
  <conditionalFormatting sqref="I544">
    <cfRule type="expression" dxfId="0" priority="400">
      <formula>MOD(ROW(),2)=0</formula>
    </cfRule>
  </conditionalFormatting>
  <conditionalFormatting sqref="H545">
    <cfRule type="expression" dxfId="0" priority="283">
      <formula>MOD(ROW(),2)=0</formula>
    </cfRule>
  </conditionalFormatting>
  <conditionalFormatting sqref="I545">
    <cfRule type="expression" dxfId="0" priority="399">
      <formula>MOD(ROW(),2)=0</formula>
    </cfRule>
  </conditionalFormatting>
  <conditionalFormatting sqref="H546">
    <cfRule type="expression" dxfId="0" priority="282">
      <formula>MOD(ROW(),2)=0</formula>
    </cfRule>
  </conditionalFormatting>
  <conditionalFormatting sqref="I546">
    <cfRule type="expression" dxfId="0" priority="398">
      <formula>MOD(ROW(),2)=0</formula>
    </cfRule>
  </conditionalFormatting>
  <conditionalFormatting sqref="H547">
    <cfRule type="expression" dxfId="0" priority="281">
      <formula>MOD(ROW(),2)=0</formula>
    </cfRule>
  </conditionalFormatting>
  <conditionalFormatting sqref="I547">
    <cfRule type="expression" dxfId="0" priority="397">
      <formula>MOD(ROW(),2)=0</formula>
    </cfRule>
  </conditionalFormatting>
  <conditionalFormatting sqref="H548">
    <cfRule type="expression" dxfId="0" priority="280">
      <formula>MOD(ROW(),2)=0</formula>
    </cfRule>
  </conditionalFormatting>
  <conditionalFormatting sqref="I548">
    <cfRule type="expression" dxfId="0" priority="396">
      <formula>MOD(ROW(),2)=0</formula>
    </cfRule>
  </conditionalFormatting>
  <conditionalFormatting sqref="H549">
    <cfRule type="expression" dxfId="0" priority="279">
      <formula>MOD(ROW(),2)=0</formula>
    </cfRule>
  </conditionalFormatting>
  <conditionalFormatting sqref="I549">
    <cfRule type="expression" dxfId="0" priority="395">
      <formula>MOD(ROW(),2)=0</formula>
    </cfRule>
  </conditionalFormatting>
  <conditionalFormatting sqref="H550">
    <cfRule type="expression" dxfId="0" priority="278">
      <formula>MOD(ROW(),2)=0</formula>
    </cfRule>
  </conditionalFormatting>
  <conditionalFormatting sqref="I550">
    <cfRule type="expression" dxfId="0" priority="394">
      <formula>MOD(ROW(),2)=0</formula>
    </cfRule>
  </conditionalFormatting>
  <conditionalFormatting sqref="H551">
    <cfRule type="expression" dxfId="0" priority="277">
      <formula>MOD(ROW(),2)=0</formula>
    </cfRule>
  </conditionalFormatting>
  <conditionalFormatting sqref="I551">
    <cfRule type="expression" dxfId="0" priority="393">
      <formula>MOD(ROW(),2)=0</formula>
    </cfRule>
  </conditionalFormatting>
  <conditionalFormatting sqref="H552">
    <cfRule type="expression" dxfId="0" priority="276">
      <formula>MOD(ROW(),2)=0</formula>
    </cfRule>
  </conditionalFormatting>
  <conditionalFormatting sqref="I552">
    <cfRule type="expression" dxfId="0" priority="392">
      <formula>MOD(ROW(),2)=0</formula>
    </cfRule>
  </conditionalFormatting>
  <conditionalFormatting sqref="H553">
    <cfRule type="expression" dxfId="0" priority="275">
      <formula>MOD(ROW(),2)=0</formula>
    </cfRule>
  </conditionalFormatting>
  <conditionalFormatting sqref="I553">
    <cfRule type="expression" dxfId="0" priority="391">
      <formula>MOD(ROW(),2)=0</formula>
    </cfRule>
  </conditionalFormatting>
  <conditionalFormatting sqref="H554">
    <cfRule type="expression" dxfId="0" priority="274">
      <formula>MOD(ROW(),2)=0</formula>
    </cfRule>
  </conditionalFormatting>
  <conditionalFormatting sqref="I554">
    <cfRule type="expression" dxfId="0" priority="390">
      <formula>MOD(ROW(),2)=0</formula>
    </cfRule>
  </conditionalFormatting>
  <conditionalFormatting sqref="H555">
    <cfRule type="expression" dxfId="0" priority="273">
      <formula>MOD(ROW(),2)=0</formula>
    </cfRule>
  </conditionalFormatting>
  <conditionalFormatting sqref="I555">
    <cfRule type="expression" dxfId="0" priority="389">
      <formula>MOD(ROW(),2)=0</formula>
    </cfRule>
  </conditionalFormatting>
  <conditionalFormatting sqref="H556">
    <cfRule type="expression" dxfId="0" priority="272">
      <formula>MOD(ROW(),2)=0</formula>
    </cfRule>
  </conditionalFormatting>
  <conditionalFormatting sqref="I556">
    <cfRule type="expression" dxfId="0" priority="388">
      <formula>MOD(ROW(),2)=0</formula>
    </cfRule>
  </conditionalFormatting>
  <conditionalFormatting sqref="H557">
    <cfRule type="expression" dxfId="0" priority="271">
      <formula>MOD(ROW(),2)=0</formula>
    </cfRule>
  </conditionalFormatting>
  <conditionalFormatting sqref="I557">
    <cfRule type="expression" dxfId="0" priority="387">
      <formula>MOD(ROW(),2)=0</formula>
    </cfRule>
  </conditionalFormatting>
  <conditionalFormatting sqref="H561">
    <cfRule type="expression" dxfId="0" priority="269">
      <formula>MOD(ROW(),2)=0</formula>
    </cfRule>
  </conditionalFormatting>
  <conditionalFormatting sqref="I561">
    <cfRule type="expression" dxfId="0" priority="385">
      <formula>MOD(ROW(),2)=0</formula>
    </cfRule>
  </conditionalFormatting>
  <conditionalFormatting sqref="H562">
    <cfRule type="expression" dxfId="0" priority="77">
      <formula>MOD(ROW(),2)=0</formula>
    </cfRule>
  </conditionalFormatting>
  <conditionalFormatting sqref="I562">
    <cfRule type="expression" dxfId="0" priority="78">
      <formula>MOD(ROW(),2)=0</formula>
    </cfRule>
  </conditionalFormatting>
  <conditionalFormatting sqref="H563">
    <cfRule type="expression" dxfId="0" priority="268">
      <formula>MOD(ROW(),2)=0</formula>
    </cfRule>
  </conditionalFormatting>
  <conditionalFormatting sqref="I563">
    <cfRule type="expression" dxfId="0" priority="384">
      <formula>MOD(ROW(),2)=0</formula>
    </cfRule>
  </conditionalFormatting>
  <conditionalFormatting sqref="H564">
    <cfRule type="expression" dxfId="0" priority="267">
      <formula>MOD(ROW(),2)=0</formula>
    </cfRule>
  </conditionalFormatting>
  <conditionalFormatting sqref="I564">
    <cfRule type="expression" dxfId="0" priority="383">
      <formula>MOD(ROW(),2)=0</formula>
    </cfRule>
  </conditionalFormatting>
  <conditionalFormatting sqref="H565">
    <cfRule type="expression" dxfId="0" priority="264">
      <formula>MOD(ROW(),2)=0</formula>
    </cfRule>
  </conditionalFormatting>
  <conditionalFormatting sqref="I565">
    <cfRule type="expression" dxfId="0" priority="380">
      <formula>MOD(ROW(),2)=0</formula>
    </cfRule>
  </conditionalFormatting>
  <conditionalFormatting sqref="H566">
    <cfRule type="expression" dxfId="0" priority="265">
      <formula>MOD(ROW(),2)=0</formula>
    </cfRule>
  </conditionalFormatting>
  <conditionalFormatting sqref="I566">
    <cfRule type="expression" dxfId="0" priority="381">
      <formula>MOD(ROW(),2)=0</formula>
    </cfRule>
  </conditionalFormatting>
  <conditionalFormatting sqref="I567">
    <cfRule type="expression" dxfId="0" priority="79">
      <formula>MOD(ROW(),2)=0</formula>
    </cfRule>
  </conditionalFormatting>
  <conditionalFormatting sqref="H568">
    <cfRule type="expression" dxfId="0" priority="263">
      <formula>MOD(ROW(),2)=0</formula>
    </cfRule>
  </conditionalFormatting>
  <conditionalFormatting sqref="I568">
    <cfRule type="expression" dxfId="0" priority="379">
      <formula>MOD(ROW(),2)=0</formula>
    </cfRule>
  </conditionalFormatting>
  <conditionalFormatting sqref="H569">
    <cfRule type="expression" dxfId="0" priority="262">
      <formula>MOD(ROW(),2)=0</formula>
    </cfRule>
  </conditionalFormatting>
  <conditionalFormatting sqref="I569">
    <cfRule type="expression" dxfId="0" priority="378">
      <formula>MOD(ROW(),2)=0</formula>
    </cfRule>
  </conditionalFormatting>
  <conditionalFormatting sqref="H570">
    <cfRule type="expression" dxfId="0" priority="70">
      <formula>MOD(ROW(),2)=0</formula>
    </cfRule>
  </conditionalFormatting>
  <conditionalFormatting sqref="I570">
    <cfRule type="expression" dxfId="0" priority="72">
      <formula>MOD(ROW(),2)=0</formula>
    </cfRule>
  </conditionalFormatting>
  <conditionalFormatting sqref="H571">
    <cfRule type="expression" dxfId="0" priority="69">
      <formula>MOD(ROW(),2)=0</formula>
    </cfRule>
  </conditionalFormatting>
  <conditionalFormatting sqref="I571">
    <cfRule type="expression" dxfId="0" priority="71">
      <formula>MOD(ROW(),2)=0</formula>
    </cfRule>
  </conditionalFormatting>
  <conditionalFormatting sqref="H572">
    <cfRule type="expression" dxfId="0" priority="62">
      <formula>MOD(ROW(),2)=0</formula>
    </cfRule>
  </conditionalFormatting>
  <conditionalFormatting sqref="I572">
    <cfRule type="expression" dxfId="0" priority="68">
      <formula>MOD(ROW(),2)=0</formula>
    </cfRule>
  </conditionalFormatting>
  <conditionalFormatting sqref="H573">
    <cfRule type="expression" dxfId="0" priority="59">
      <formula>MOD(ROW(),2)=0</formula>
    </cfRule>
  </conditionalFormatting>
  <conditionalFormatting sqref="I573">
    <cfRule type="expression" dxfId="0" priority="65">
      <formula>MOD(ROW(),2)=0</formula>
    </cfRule>
  </conditionalFormatting>
  <conditionalFormatting sqref="H574">
    <cfRule type="expression" dxfId="0" priority="61">
      <formula>MOD(ROW(),2)=0</formula>
    </cfRule>
  </conditionalFormatting>
  <conditionalFormatting sqref="I574">
    <cfRule type="expression" dxfId="0" priority="67">
      <formula>MOD(ROW(),2)=0</formula>
    </cfRule>
  </conditionalFormatting>
  <conditionalFormatting sqref="H575">
    <cfRule type="expression" dxfId="0" priority="58">
      <formula>MOD(ROW(),2)=0</formula>
    </cfRule>
  </conditionalFormatting>
  <conditionalFormatting sqref="I575">
    <cfRule type="expression" dxfId="0" priority="64">
      <formula>MOD(ROW(),2)=0</formula>
    </cfRule>
  </conditionalFormatting>
  <conditionalFormatting sqref="H576">
    <cfRule type="expression" dxfId="0" priority="261">
      <formula>MOD(ROW(),2)=0</formula>
    </cfRule>
  </conditionalFormatting>
  <conditionalFormatting sqref="I576">
    <cfRule type="expression" dxfId="0" priority="377">
      <formula>MOD(ROW(),2)=0</formula>
    </cfRule>
  </conditionalFormatting>
  <conditionalFormatting sqref="H577">
    <cfRule type="expression" dxfId="0" priority="260">
      <formula>MOD(ROW(),2)=0</formula>
    </cfRule>
  </conditionalFormatting>
  <conditionalFormatting sqref="I577">
    <cfRule type="expression" dxfId="0" priority="376">
      <formula>MOD(ROW(),2)=0</formula>
    </cfRule>
  </conditionalFormatting>
  <conditionalFormatting sqref="H578">
    <cfRule type="expression" dxfId="0" priority="259">
      <formula>MOD(ROW(),2)=0</formula>
    </cfRule>
  </conditionalFormatting>
  <conditionalFormatting sqref="I578">
    <cfRule type="expression" dxfId="0" priority="375">
      <formula>MOD(ROW(),2)=0</formula>
    </cfRule>
  </conditionalFormatting>
  <conditionalFormatting sqref="H579">
    <cfRule type="expression" dxfId="0" priority="258">
      <formula>MOD(ROW(),2)=0</formula>
    </cfRule>
  </conditionalFormatting>
  <conditionalFormatting sqref="I579">
    <cfRule type="expression" dxfId="0" priority="374">
      <formula>MOD(ROW(),2)=0</formula>
    </cfRule>
  </conditionalFormatting>
  <conditionalFormatting sqref="H580">
    <cfRule type="expression" dxfId="0" priority="257">
      <formula>MOD(ROW(),2)=0</formula>
    </cfRule>
  </conditionalFormatting>
  <conditionalFormatting sqref="I580">
    <cfRule type="expression" dxfId="0" priority="373">
      <formula>MOD(ROW(),2)=0</formula>
    </cfRule>
  </conditionalFormatting>
  <conditionalFormatting sqref="H581">
    <cfRule type="expression" dxfId="0" priority="256">
      <formula>MOD(ROW(),2)=0</formula>
    </cfRule>
  </conditionalFormatting>
  <conditionalFormatting sqref="I581">
    <cfRule type="expression" dxfId="0" priority="372">
      <formula>MOD(ROW(),2)=0</formula>
    </cfRule>
  </conditionalFormatting>
  <conditionalFormatting sqref="H582">
    <cfRule type="expression" dxfId="0" priority="255">
      <formula>MOD(ROW(),2)=0</formula>
    </cfRule>
  </conditionalFormatting>
  <conditionalFormatting sqref="I582">
    <cfRule type="expression" dxfId="0" priority="371">
      <formula>MOD(ROW(),2)=0</formula>
    </cfRule>
  </conditionalFormatting>
  <conditionalFormatting sqref="H583">
    <cfRule type="expression" dxfId="0" priority="254">
      <formula>MOD(ROW(),2)=0</formula>
    </cfRule>
  </conditionalFormatting>
  <conditionalFormatting sqref="I583">
    <cfRule type="expression" dxfId="0" priority="370">
      <formula>MOD(ROW(),2)=0</formula>
    </cfRule>
  </conditionalFormatting>
  <conditionalFormatting sqref="H584">
    <cfRule type="expression" dxfId="0" priority="25">
      <formula>MOD(ROW(),2)=0</formula>
    </cfRule>
  </conditionalFormatting>
  <conditionalFormatting sqref="I584">
    <cfRule type="expression" dxfId="0" priority="48">
      <formula>MOD(ROW(),2)=0</formula>
    </cfRule>
  </conditionalFormatting>
  <conditionalFormatting sqref="H585">
    <cfRule type="expression" dxfId="0" priority="24">
      <formula>MOD(ROW(),2)=0</formula>
    </cfRule>
  </conditionalFormatting>
  <conditionalFormatting sqref="I585">
    <cfRule type="expression" dxfId="0" priority="47">
      <formula>MOD(ROW(),2)=0</formula>
    </cfRule>
  </conditionalFormatting>
  <conditionalFormatting sqref="H586">
    <cfRule type="expression" dxfId="0" priority="23">
      <formula>MOD(ROW(),2)=0</formula>
    </cfRule>
  </conditionalFormatting>
  <conditionalFormatting sqref="I586">
    <cfRule type="expression" dxfId="0" priority="46">
      <formula>MOD(ROW(),2)=0</formula>
    </cfRule>
  </conditionalFormatting>
  <conditionalFormatting sqref="H587">
    <cfRule type="expression" dxfId="0" priority="22">
      <formula>MOD(ROW(),2)=0</formula>
    </cfRule>
  </conditionalFormatting>
  <conditionalFormatting sqref="I587">
    <cfRule type="expression" dxfId="0" priority="45">
      <formula>MOD(ROW(),2)=0</formula>
    </cfRule>
  </conditionalFormatting>
  <conditionalFormatting sqref="H588">
    <cfRule type="expression" dxfId="0" priority="21">
      <formula>MOD(ROW(),2)=0</formula>
    </cfRule>
  </conditionalFormatting>
  <conditionalFormatting sqref="I588">
    <cfRule type="expression" dxfId="0" priority="44">
      <formula>MOD(ROW(),2)=0</formula>
    </cfRule>
  </conditionalFormatting>
  <conditionalFormatting sqref="H589">
    <cfRule type="expression" dxfId="0" priority="20">
      <formula>MOD(ROW(),2)=0</formula>
    </cfRule>
  </conditionalFormatting>
  <conditionalFormatting sqref="I589">
    <cfRule type="expression" dxfId="0" priority="43">
      <formula>MOD(ROW(),2)=0</formula>
    </cfRule>
  </conditionalFormatting>
  <conditionalFormatting sqref="H590">
    <cfRule type="expression" dxfId="0" priority="19">
      <formula>MOD(ROW(),2)=0</formula>
    </cfRule>
  </conditionalFormatting>
  <conditionalFormatting sqref="I590">
    <cfRule type="expression" dxfId="0" priority="42">
      <formula>MOD(ROW(),2)=0</formula>
    </cfRule>
  </conditionalFormatting>
  <conditionalFormatting sqref="H591">
    <cfRule type="expression" dxfId="0" priority="18">
      <formula>MOD(ROW(),2)=0</formula>
    </cfRule>
  </conditionalFormatting>
  <conditionalFormatting sqref="I591">
    <cfRule type="expression" dxfId="0" priority="41">
      <formula>MOD(ROW(),2)=0</formula>
    </cfRule>
  </conditionalFormatting>
  <conditionalFormatting sqref="H592">
    <cfRule type="expression" dxfId="0" priority="17">
      <formula>MOD(ROW(),2)=0</formula>
    </cfRule>
  </conditionalFormatting>
  <conditionalFormatting sqref="I592">
    <cfRule type="expression" dxfId="0" priority="40">
      <formula>MOD(ROW(),2)=0</formula>
    </cfRule>
  </conditionalFormatting>
  <conditionalFormatting sqref="H593">
    <cfRule type="expression" dxfId="0" priority="16">
      <formula>MOD(ROW(),2)=0</formula>
    </cfRule>
  </conditionalFormatting>
  <conditionalFormatting sqref="I593">
    <cfRule type="expression" dxfId="0" priority="39">
      <formula>MOD(ROW(),2)=0</formula>
    </cfRule>
  </conditionalFormatting>
  <conditionalFormatting sqref="H594">
    <cfRule type="expression" dxfId="0" priority="15">
      <formula>MOD(ROW(),2)=0</formula>
    </cfRule>
  </conditionalFormatting>
  <conditionalFormatting sqref="I594">
    <cfRule type="expression" dxfId="0" priority="38">
      <formula>MOD(ROW(),2)=0</formula>
    </cfRule>
  </conditionalFormatting>
  <conditionalFormatting sqref="H595">
    <cfRule type="expression" dxfId="0" priority="14">
      <formula>MOD(ROW(),2)=0</formula>
    </cfRule>
  </conditionalFormatting>
  <conditionalFormatting sqref="I595">
    <cfRule type="expression" dxfId="0" priority="37">
      <formula>MOD(ROW(),2)=0</formula>
    </cfRule>
  </conditionalFormatting>
  <conditionalFormatting sqref="H596">
    <cfRule type="expression" dxfId="0" priority="13">
      <formula>MOD(ROW(),2)=0</formula>
    </cfRule>
  </conditionalFormatting>
  <conditionalFormatting sqref="I596">
    <cfRule type="expression" dxfId="0" priority="36">
      <formula>MOD(ROW(),2)=0</formula>
    </cfRule>
  </conditionalFormatting>
  <conditionalFormatting sqref="H597">
    <cfRule type="expression" dxfId="0" priority="12">
      <formula>MOD(ROW(),2)=0</formula>
    </cfRule>
  </conditionalFormatting>
  <conditionalFormatting sqref="I597">
    <cfRule type="expression" dxfId="0" priority="35">
      <formula>MOD(ROW(),2)=0</formula>
    </cfRule>
  </conditionalFormatting>
  <conditionalFormatting sqref="H598">
    <cfRule type="expression" dxfId="0" priority="11">
      <formula>MOD(ROW(),2)=0</formula>
    </cfRule>
  </conditionalFormatting>
  <conditionalFormatting sqref="I598">
    <cfRule type="expression" dxfId="0" priority="34">
      <formula>MOD(ROW(),2)=0</formula>
    </cfRule>
  </conditionalFormatting>
  <conditionalFormatting sqref="H599">
    <cfRule type="expression" dxfId="0" priority="10">
      <formula>MOD(ROW(),2)=0</formula>
    </cfRule>
  </conditionalFormatting>
  <conditionalFormatting sqref="I599">
    <cfRule type="expression" dxfId="0" priority="33">
      <formula>MOD(ROW(),2)=0</formula>
    </cfRule>
  </conditionalFormatting>
  <conditionalFormatting sqref="H600">
    <cfRule type="expression" dxfId="0" priority="9">
      <formula>MOD(ROW(),2)=0</formula>
    </cfRule>
  </conditionalFormatting>
  <conditionalFormatting sqref="I600">
    <cfRule type="expression" dxfId="0" priority="32">
      <formula>MOD(ROW(),2)=0</formula>
    </cfRule>
  </conditionalFormatting>
  <conditionalFormatting sqref="H601">
    <cfRule type="expression" dxfId="0" priority="8">
      <formula>MOD(ROW(),2)=0</formula>
    </cfRule>
  </conditionalFormatting>
  <conditionalFormatting sqref="I601">
    <cfRule type="expression" dxfId="0" priority="31">
      <formula>MOD(ROW(),2)=0</formula>
    </cfRule>
  </conditionalFormatting>
  <conditionalFormatting sqref="H602">
    <cfRule type="expression" dxfId="0" priority="7">
      <formula>MOD(ROW(),2)=0</formula>
    </cfRule>
  </conditionalFormatting>
  <conditionalFormatting sqref="I602">
    <cfRule type="expression" dxfId="0" priority="30">
      <formula>MOD(ROW(),2)=0</formula>
    </cfRule>
  </conditionalFormatting>
  <conditionalFormatting sqref="H603">
    <cfRule type="expression" dxfId="0" priority="6">
      <formula>MOD(ROW(),2)=0</formula>
    </cfRule>
  </conditionalFormatting>
  <conditionalFormatting sqref="I603">
    <cfRule type="expression" dxfId="0" priority="29">
      <formula>MOD(ROW(),2)=0</formula>
    </cfRule>
  </conditionalFormatting>
  <conditionalFormatting sqref="H604">
    <cfRule type="expression" dxfId="0" priority="5">
      <formula>MOD(ROW(),2)=0</formula>
    </cfRule>
  </conditionalFormatting>
  <conditionalFormatting sqref="I604">
    <cfRule type="expression" dxfId="0" priority="28">
      <formula>MOD(ROW(),2)=0</formula>
    </cfRule>
  </conditionalFormatting>
  <conditionalFormatting sqref="H605">
    <cfRule type="expression" dxfId="0" priority="4">
      <formula>MOD(ROW(),2)=0</formula>
    </cfRule>
  </conditionalFormatting>
  <conditionalFormatting sqref="I605">
    <cfRule type="expression" dxfId="0" priority="27">
      <formula>MOD(ROW(),2)=0</formula>
    </cfRule>
  </conditionalFormatting>
  <conditionalFormatting sqref="H606">
    <cfRule type="expression" dxfId="0" priority="3">
      <formula>MOD(ROW(),2)=0</formula>
    </cfRule>
  </conditionalFormatting>
  <conditionalFormatting sqref="I606">
    <cfRule type="expression" dxfId="0" priority="26">
      <formula>MOD(ROW(),2)=0</formula>
    </cfRule>
  </conditionalFormatting>
  <conditionalFormatting sqref="H95:H98">
    <cfRule type="expression" dxfId="0" priority="603">
      <formula>MOD(ROW(),2)=0</formula>
    </cfRule>
  </conditionalFormatting>
  <conditionalFormatting sqref="H178:H181">
    <cfRule type="expression" dxfId="0" priority="596">
      <formula>MOD(ROW(),2)=0</formula>
    </cfRule>
  </conditionalFormatting>
  <conditionalFormatting sqref="H224:H226">
    <cfRule type="expression" dxfId="0" priority="563">
      <formula>MOD(ROW(),2)=0</formula>
    </cfRule>
  </conditionalFormatting>
  <conditionalFormatting sqref="H371:H375">
    <cfRule type="expression" dxfId="0" priority="202">
      <formula>MOD(ROW(),2)=0</formula>
    </cfRule>
  </conditionalFormatting>
  <conditionalFormatting sqref="H376:H378">
    <cfRule type="expression" dxfId="0" priority="200">
      <formula>MOD(ROW(),2)=0</formula>
    </cfRule>
  </conditionalFormatting>
  <conditionalFormatting sqref="H449:H451">
    <cfRule type="expression" dxfId="0" priority="343">
      <formula>MOD(ROW(),2)=0</formula>
    </cfRule>
  </conditionalFormatting>
  <conditionalFormatting sqref="H558:H560">
    <cfRule type="expression" dxfId="0" priority="270">
      <formula>MOD(ROW(),2)=0</formula>
    </cfRule>
  </conditionalFormatting>
  <conditionalFormatting sqref="I95:I98">
    <cfRule type="expression" dxfId="0" priority="604">
      <formula>MOD(ROW(),2)=0</formula>
    </cfRule>
  </conditionalFormatting>
  <conditionalFormatting sqref="I178:I181">
    <cfRule type="expression" dxfId="0" priority="597">
      <formula>MOD(ROW(),2)=0</formula>
    </cfRule>
  </conditionalFormatting>
  <conditionalFormatting sqref="I224:I226">
    <cfRule type="expression" dxfId="0" priority="564">
      <formula>MOD(ROW(),2)=0</formula>
    </cfRule>
  </conditionalFormatting>
  <conditionalFormatting sqref="I371:I375">
    <cfRule type="expression" dxfId="0" priority="203">
      <formula>MOD(ROW(),2)=0</formula>
    </cfRule>
  </conditionalFormatting>
  <conditionalFormatting sqref="I376:I378">
    <cfRule type="expression" dxfId="0" priority="201">
      <formula>MOD(ROW(),2)=0</formula>
    </cfRule>
  </conditionalFormatting>
  <conditionalFormatting sqref="I449:I451">
    <cfRule type="expression" dxfId="0" priority="459">
      <formula>MOD(ROW(),2)=0</formula>
    </cfRule>
  </conditionalFormatting>
  <conditionalFormatting sqref="I526:I530">
    <cfRule type="expression" dxfId="0" priority="105">
      <formula>MOD(ROW(),2)=0</formula>
    </cfRule>
  </conditionalFormatting>
  <conditionalFormatting sqref="I558:I560">
    <cfRule type="expression" dxfId="0" priority="386">
      <formula>MOD(ROW(),2)=0</formula>
    </cfRule>
  </conditionalFormatting>
  <conditionalFormatting sqref="J2:J5">
    <cfRule type="expression" dxfId="0" priority="605">
      <formula>MOD(ROW(),2)=0</formula>
    </cfRule>
  </conditionalFormatting>
  <conditionalFormatting sqref="D2:I3 L2:U3 D4:I4 L4:U4 E5 H5:I5 L5 H6:I11 L6:L11 H12:I12 L12 H16:I16 L16 H18:I20 L18:L20 H21:I47 L23:L47 H48:I58 L48:L58 H59:I60 L61:L62 H63:I79 H81:I81 I83:I94 I99:I106 I108:I147 I151 I153:I164 I166:I169 I172:I175 I182:I186 I188:I193 I196:I199 I201:I223 I231 I235 I237:I239 I242:I259 I262:I269 I272:I277 I282:I284 I288:I296 I309:I312 I320:I324 I326:I332 I334:I350 I356 I360:I362 I370 I382:I384 I386 I391 I393:I395 I398:I408 I411:I414 I416:I418">
    <cfRule type="expression" dxfId="0" priority="617">
      <formula>MOD(ROW(),2)=0</formula>
    </cfRule>
  </conditionalFormatting>
  <conditionalFormatting sqref="H13:I14 L13:L15">
    <cfRule type="expression" dxfId="0" priority="546">
      <formula>MOD(ROW(),2)=0</formula>
    </cfRule>
  </conditionalFormatting>
  <conditionalFormatting sqref="H17:I17 L17">
    <cfRule type="expression" dxfId="0" priority="609">
      <formula>MOD(ROW(),2)=0</formula>
    </cfRule>
  </conditionalFormatting>
  <conditionalFormatting sqref="H61:I62">
    <cfRule type="expression" dxfId="0" priority="602">
      <formula>MOD(ROW(),2)=0</formula>
    </cfRule>
  </conditionalFormatting>
  <conditionalFormatting sqref="H83:H94 H99:H147 H151 H153:H164 H166:H169 H172:H175 H182:H186 H188:H193 H196:H199 H201:H223 H231 H235 H237:H239 H242:H259 H262:H269 H272:H277 H282:H284 H288:H296 H309:H312 H320:H324 H326:H332 H334:H350 H356 H360:H362 H370 H382:H384 H386 H391 H393:H395 H398:H408 H411:H414 H416:H418">
    <cfRule type="expression" dxfId="0" priority="606">
      <formula>MOD(ROW(),2)=0</formula>
    </cfRule>
  </conditionalFormatting>
  <conditionalFormatting sqref="H194:I195">
    <cfRule type="expression" dxfId="0" priority="573">
      <formula>MOD(ROW(),2)=0</formula>
    </cfRule>
  </conditionalFormatting>
  <pageMargins left="0.75" right="0.75" top="1" bottom="1" header="0.511805555555556" footer="0.511805555555556"/>
  <pageSetup paperSize="9" scale="45" orientation="landscape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opLeftCell="A44" workbookViewId="0">
      <selection activeCell="J505" sqref="J505"/>
    </sheetView>
  </sheetViews>
  <sheetFormatPr defaultColWidth="9" defaultRowHeight="15"/>
  <cols>
    <col min="1" max="1" width="4.75" style="14" customWidth="1"/>
    <col min="2" max="2" width="31" style="15" customWidth="1"/>
    <col min="3" max="3" width="25.3333333333333" style="14" customWidth="1"/>
    <col min="4" max="4" width="45.3333333333333" style="15" customWidth="1"/>
    <col min="5" max="5" width="43.5" style="14" customWidth="1"/>
    <col min="6" max="6" width="16.0833333333333" style="14" customWidth="1"/>
    <col min="7" max="7" width="5.41666666666667" style="14" customWidth="1"/>
    <col min="8" max="8" width="11.6666666666667" style="14" customWidth="1"/>
    <col min="9" max="9" width="64.8333333333333" style="14" customWidth="1"/>
    <col min="10" max="16384" width="9" style="13"/>
  </cols>
  <sheetData>
    <row r="1" s="13" customFormat="1" ht="16.5" spans="1:9">
      <c r="A1" s="16" t="s">
        <v>788</v>
      </c>
      <c r="B1" s="16"/>
      <c r="C1" s="16"/>
      <c r="D1" s="16"/>
      <c r="E1" s="16"/>
      <c r="F1" s="16"/>
      <c r="G1" s="16"/>
      <c r="H1" s="16"/>
      <c r="I1" s="16"/>
    </row>
    <row r="2" s="13" customFormat="1" ht="14" customHeight="1" spans="1:9">
      <c r="A2" s="17" t="s">
        <v>789</v>
      </c>
      <c r="B2" s="18" t="s">
        <v>790</v>
      </c>
      <c r="C2" s="17" t="s">
        <v>20</v>
      </c>
      <c r="D2" s="18" t="s">
        <v>791</v>
      </c>
      <c r="E2" s="17" t="s">
        <v>792</v>
      </c>
      <c r="F2" s="17" t="s">
        <v>793</v>
      </c>
      <c r="G2" s="17" t="s">
        <v>794</v>
      </c>
      <c r="H2" s="17" t="s">
        <v>795</v>
      </c>
      <c r="I2" s="17" t="s">
        <v>11</v>
      </c>
    </row>
    <row r="3" s="13" customFormat="1" spans="1:9">
      <c r="A3" s="19">
        <v>1</v>
      </c>
      <c r="B3" s="20" t="s">
        <v>796</v>
      </c>
      <c r="C3" s="19">
        <v>15372959912</v>
      </c>
      <c r="D3" s="20" t="s">
        <v>797</v>
      </c>
      <c r="E3" s="20" t="s">
        <v>798</v>
      </c>
      <c r="F3" s="19" t="s">
        <v>67</v>
      </c>
      <c r="G3" s="19">
        <v>12.5</v>
      </c>
      <c r="H3" s="19">
        <f t="shared" ref="H3:H6" si="0">G3*1.08</f>
        <v>13.5</v>
      </c>
      <c r="I3" s="15" t="s">
        <v>799</v>
      </c>
    </row>
    <row r="4" s="13" customFormat="1" spans="1:9">
      <c r="A4" s="19"/>
      <c r="B4" s="20"/>
      <c r="C4" s="19"/>
      <c r="D4" s="20"/>
      <c r="E4" s="20"/>
      <c r="F4" s="19" t="s">
        <v>49</v>
      </c>
      <c r="G4" s="19">
        <v>15.5</v>
      </c>
      <c r="H4" s="19">
        <f t="shared" si="0"/>
        <v>16.74</v>
      </c>
      <c r="I4" s="14"/>
    </row>
    <row r="5" s="13" customFormat="1" spans="1:9">
      <c r="A5" s="19"/>
      <c r="B5" s="20"/>
      <c r="C5" s="19"/>
      <c r="D5" s="20"/>
      <c r="E5" s="20"/>
      <c r="F5" s="19" t="s">
        <v>117</v>
      </c>
      <c r="G5" s="19">
        <v>15.3</v>
      </c>
      <c r="H5" s="19">
        <f t="shared" si="0"/>
        <v>16.524</v>
      </c>
      <c r="I5" s="14"/>
    </row>
    <row r="6" s="13" customFormat="1" spans="1:9">
      <c r="A6" s="19"/>
      <c r="B6" s="20"/>
      <c r="C6" s="19"/>
      <c r="D6" s="20"/>
      <c r="E6" s="20"/>
      <c r="F6" s="19" t="s">
        <v>118</v>
      </c>
      <c r="G6" s="19">
        <v>18.7</v>
      </c>
      <c r="H6" s="19">
        <f t="shared" si="0"/>
        <v>20.196</v>
      </c>
      <c r="I6" s="14"/>
    </row>
    <row r="7" s="13" customFormat="1" spans="1:9">
      <c r="A7" s="15">
        <v>2</v>
      </c>
      <c r="B7" s="21" t="s">
        <v>800</v>
      </c>
      <c r="C7" s="21">
        <v>18762614003</v>
      </c>
      <c r="D7" s="21" t="s">
        <v>801</v>
      </c>
      <c r="E7" s="21" t="s">
        <v>802</v>
      </c>
      <c r="F7" s="19" t="s">
        <v>67</v>
      </c>
      <c r="G7" s="19">
        <v>11.2</v>
      </c>
      <c r="H7" s="22"/>
      <c r="I7" s="21" t="s">
        <v>803</v>
      </c>
    </row>
    <row r="8" s="13" customFormat="1" spans="1:9">
      <c r="A8" s="15"/>
      <c r="B8" s="21"/>
      <c r="C8" s="21"/>
      <c r="D8" s="21"/>
      <c r="E8" s="21"/>
      <c r="F8" s="19" t="s">
        <v>49</v>
      </c>
      <c r="G8" s="19">
        <v>13.2</v>
      </c>
      <c r="H8" s="22"/>
      <c r="I8" s="21"/>
    </row>
    <row r="9" s="13" customFormat="1" spans="1:9">
      <c r="A9" s="15"/>
      <c r="B9" s="21"/>
      <c r="C9" s="21"/>
      <c r="D9" s="21"/>
      <c r="E9" s="21"/>
      <c r="F9" s="19" t="s">
        <v>49</v>
      </c>
      <c r="G9" s="20">
        <v>16.5</v>
      </c>
      <c r="H9" s="20">
        <v>18.315</v>
      </c>
      <c r="I9" s="21"/>
    </row>
    <row r="10" s="13" customFormat="1" ht="75" spans="1:9">
      <c r="A10" s="14">
        <v>3</v>
      </c>
      <c r="B10" s="15" t="s">
        <v>28</v>
      </c>
      <c r="C10" s="14">
        <v>17305795294</v>
      </c>
      <c r="D10" s="15" t="s">
        <v>804</v>
      </c>
      <c r="E10" s="15" t="s">
        <v>805</v>
      </c>
      <c r="F10" s="19" t="s">
        <v>49</v>
      </c>
      <c r="G10" s="14">
        <v>16.2</v>
      </c>
      <c r="H10" s="14">
        <v>178.82</v>
      </c>
      <c r="I10" s="15" t="s">
        <v>806</v>
      </c>
    </row>
    <row r="11" s="13" customFormat="1" spans="1:9">
      <c r="A11" s="14">
        <v>4</v>
      </c>
      <c r="B11" s="15" t="s">
        <v>807</v>
      </c>
      <c r="C11" s="14">
        <v>18378333808</v>
      </c>
      <c r="D11" s="15" t="s">
        <v>808</v>
      </c>
      <c r="E11" s="14" t="s">
        <v>809</v>
      </c>
      <c r="F11" s="19" t="s">
        <v>44</v>
      </c>
      <c r="G11" s="14">
        <v>11</v>
      </c>
      <c r="H11" s="14"/>
      <c r="I11" s="14"/>
    </row>
    <row r="12" s="13" customFormat="1" spans="1:9">
      <c r="A12" s="14"/>
      <c r="B12" s="15"/>
      <c r="C12" s="14"/>
      <c r="D12" s="15"/>
      <c r="E12" s="14"/>
      <c r="F12" s="19" t="s">
        <v>67</v>
      </c>
      <c r="G12" s="14">
        <v>13</v>
      </c>
      <c r="H12" s="14"/>
      <c r="I12" s="14"/>
    </row>
    <row r="13" s="13" customFormat="1" spans="1:9">
      <c r="A13" s="14"/>
      <c r="B13" s="15"/>
      <c r="C13" s="14"/>
      <c r="D13" s="15"/>
      <c r="E13" s="14"/>
      <c r="F13" s="19" t="s">
        <v>49</v>
      </c>
      <c r="G13" s="14">
        <v>16.5</v>
      </c>
      <c r="H13" s="14"/>
      <c r="I13" s="14"/>
    </row>
    <row r="14" s="13" customFormat="1" spans="1:9">
      <c r="A14" s="14"/>
      <c r="B14" s="15"/>
      <c r="C14" s="14"/>
      <c r="D14" s="15"/>
      <c r="E14" s="14"/>
      <c r="F14" s="19" t="s">
        <v>248</v>
      </c>
      <c r="G14" s="14">
        <v>20</v>
      </c>
      <c r="H14" s="14"/>
      <c r="I14" s="14"/>
    </row>
    <row r="15" s="13" customFormat="1" spans="1:9">
      <c r="A15" s="14"/>
      <c r="B15" s="15"/>
      <c r="C15" s="14"/>
      <c r="D15" s="15"/>
      <c r="E15" s="14"/>
      <c r="F15" s="19" t="s">
        <v>810</v>
      </c>
      <c r="G15" s="14">
        <v>13</v>
      </c>
      <c r="H15" s="14"/>
      <c r="I15" s="14"/>
    </row>
    <row r="16" s="13" customFormat="1" spans="1:9">
      <c r="A16" s="14"/>
      <c r="B16" s="15"/>
      <c r="C16" s="14"/>
      <c r="D16" s="15"/>
      <c r="E16" s="14"/>
      <c r="F16" s="19" t="s">
        <v>118</v>
      </c>
      <c r="G16" s="14">
        <v>20.5</v>
      </c>
      <c r="H16" s="14"/>
      <c r="I16" s="14"/>
    </row>
    <row r="17" s="13" customFormat="1" spans="1:9">
      <c r="A17" s="14">
        <v>5</v>
      </c>
      <c r="B17" s="23" t="s">
        <v>811</v>
      </c>
      <c r="C17" s="14"/>
      <c r="D17" s="15"/>
      <c r="E17" s="14" t="s">
        <v>812</v>
      </c>
      <c r="F17" s="19" t="s">
        <v>44</v>
      </c>
      <c r="G17" s="14"/>
      <c r="H17" s="14">
        <v>13.5</v>
      </c>
      <c r="I17" s="15" t="s">
        <v>813</v>
      </c>
    </row>
    <row r="18" s="13" customFormat="1" spans="1:9">
      <c r="A18" s="14"/>
      <c r="B18" s="23"/>
      <c r="C18" s="14"/>
      <c r="D18" s="15"/>
      <c r="E18" s="14"/>
      <c r="F18" s="19" t="s">
        <v>67</v>
      </c>
      <c r="G18" s="14"/>
      <c r="H18" s="14">
        <v>15.8</v>
      </c>
      <c r="I18" s="14"/>
    </row>
    <row r="19" s="13" customFormat="1" spans="1:9">
      <c r="A19" s="14"/>
      <c r="B19" s="23"/>
      <c r="C19" s="14"/>
      <c r="D19" s="15"/>
      <c r="E19" s="14"/>
      <c r="F19" s="19" t="s">
        <v>49</v>
      </c>
      <c r="G19" s="14"/>
      <c r="H19" s="14">
        <v>20</v>
      </c>
      <c r="I19" s="14"/>
    </row>
    <row r="20" s="13" customFormat="1" spans="1:9">
      <c r="A20" s="14"/>
      <c r="B20" s="23"/>
      <c r="C20" s="14"/>
      <c r="D20" s="15"/>
      <c r="E20" s="14"/>
      <c r="F20" s="19" t="s">
        <v>248</v>
      </c>
      <c r="G20" s="14"/>
      <c r="H20" s="14">
        <v>24.5</v>
      </c>
      <c r="I20" s="14"/>
    </row>
    <row r="21" s="13" customFormat="1" spans="1:9">
      <c r="A21" s="14">
        <v>6</v>
      </c>
      <c r="B21" s="15" t="s">
        <v>814</v>
      </c>
      <c r="C21" s="14">
        <v>13867910113</v>
      </c>
      <c r="D21" s="15" t="s">
        <v>815</v>
      </c>
      <c r="E21" s="14" t="s">
        <v>816</v>
      </c>
      <c r="F21" s="19" t="s">
        <v>44</v>
      </c>
      <c r="G21" s="14">
        <v>10</v>
      </c>
      <c r="H21" s="14"/>
      <c r="I21" s="14"/>
    </row>
    <row r="22" s="13" customFormat="1" spans="1:9">
      <c r="A22" s="14"/>
      <c r="B22" s="15"/>
      <c r="C22" s="14"/>
      <c r="D22" s="15"/>
      <c r="E22" s="14"/>
      <c r="F22" s="19" t="s">
        <v>67</v>
      </c>
      <c r="G22" s="14">
        <v>12</v>
      </c>
      <c r="H22" s="14"/>
      <c r="I22" s="14"/>
    </row>
    <row r="23" s="13" customFormat="1" spans="1:9">
      <c r="A23" s="14"/>
      <c r="B23" s="15"/>
      <c r="C23" s="14"/>
      <c r="D23" s="15"/>
      <c r="E23" s="14"/>
      <c r="F23" s="19" t="s">
        <v>49</v>
      </c>
      <c r="G23" s="14">
        <v>15</v>
      </c>
      <c r="H23" s="14"/>
      <c r="I23" s="14"/>
    </row>
    <row r="24" s="13" customFormat="1" spans="1:9">
      <c r="A24" s="14"/>
      <c r="B24" s="15"/>
      <c r="C24" s="14"/>
      <c r="D24" s="15"/>
      <c r="E24" s="14"/>
      <c r="F24" s="19" t="s">
        <v>248</v>
      </c>
      <c r="G24" s="14">
        <v>17.5</v>
      </c>
      <c r="H24" s="14"/>
      <c r="I24" s="14"/>
    </row>
    <row r="25" s="13" customFormat="1" spans="1:9">
      <c r="A25" s="14"/>
      <c r="B25" s="15"/>
      <c r="C25" s="14"/>
      <c r="D25" s="15"/>
      <c r="E25" s="14"/>
      <c r="F25" s="14" t="s">
        <v>817</v>
      </c>
      <c r="G25" s="14">
        <v>13.5</v>
      </c>
      <c r="H25" s="14"/>
      <c r="I25" s="14"/>
    </row>
    <row r="26" s="13" customFormat="1" spans="1:9">
      <c r="A26" s="14"/>
      <c r="B26" s="15"/>
      <c r="C26" s="14"/>
      <c r="D26" s="15"/>
      <c r="E26" s="14"/>
      <c r="F26" s="14" t="s">
        <v>818</v>
      </c>
      <c r="G26" s="14">
        <v>18</v>
      </c>
      <c r="H26" s="14"/>
      <c r="I26" s="14"/>
    </row>
    <row r="27" s="13" customFormat="1" spans="1:9">
      <c r="A27" s="14"/>
      <c r="B27" s="15"/>
      <c r="C27" s="14"/>
      <c r="D27" s="15"/>
      <c r="E27" s="14"/>
      <c r="F27" s="19" t="s">
        <v>810</v>
      </c>
      <c r="G27" s="14">
        <v>12.8</v>
      </c>
      <c r="H27" s="14"/>
      <c r="I27" s="14"/>
    </row>
    <row r="28" s="13" customFormat="1" spans="1:9">
      <c r="A28" s="14"/>
      <c r="B28" s="15"/>
      <c r="C28" s="14"/>
      <c r="D28" s="15"/>
      <c r="E28" s="14"/>
      <c r="F28" s="19" t="s">
        <v>117</v>
      </c>
      <c r="G28" s="14">
        <v>15</v>
      </c>
      <c r="H28" s="14"/>
      <c r="I28" s="14"/>
    </row>
    <row r="29" s="13" customFormat="1" spans="1:9">
      <c r="A29" s="14"/>
      <c r="B29" s="15"/>
      <c r="C29" s="14"/>
      <c r="D29" s="15"/>
      <c r="E29" s="14"/>
      <c r="F29" s="19" t="s">
        <v>118</v>
      </c>
      <c r="G29" s="14">
        <v>18</v>
      </c>
      <c r="H29" s="14"/>
      <c r="I29" s="14"/>
    </row>
    <row r="30" s="13" customFormat="1" spans="1:9">
      <c r="A30" s="14">
        <v>7</v>
      </c>
      <c r="B30" s="15" t="s">
        <v>106</v>
      </c>
      <c r="C30" s="14">
        <v>13516897826</v>
      </c>
      <c r="D30" s="15" t="s">
        <v>819</v>
      </c>
      <c r="E30" s="14"/>
      <c r="F30" s="19" t="s">
        <v>44</v>
      </c>
      <c r="G30" s="14">
        <v>10.8</v>
      </c>
      <c r="H30" s="14"/>
      <c r="I30" s="14"/>
    </row>
    <row r="31" s="13" customFormat="1" spans="1:9">
      <c r="A31" s="14"/>
      <c r="B31" s="15"/>
      <c r="C31" s="14"/>
      <c r="D31" s="15"/>
      <c r="E31" s="14"/>
      <c r="F31" s="19" t="s">
        <v>67</v>
      </c>
      <c r="G31" s="14">
        <v>12.5</v>
      </c>
      <c r="H31" s="14"/>
      <c r="I31" s="14"/>
    </row>
    <row r="32" s="13" customFormat="1" spans="1:9">
      <c r="A32" s="14"/>
      <c r="B32" s="15"/>
      <c r="C32" s="14"/>
      <c r="D32" s="15"/>
      <c r="E32" s="14"/>
      <c r="F32" s="19" t="s">
        <v>49</v>
      </c>
      <c r="G32" s="14">
        <v>16</v>
      </c>
      <c r="H32" s="14"/>
      <c r="I32" s="14"/>
    </row>
    <row r="33" s="13" customFormat="1" spans="1:9">
      <c r="A33" s="14"/>
      <c r="B33" s="15"/>
      <c r="C33" s="14"/>
      <c r="D33" s="15"/>
      <c r="E33" s="14"/>
      <c r="F33" s="19" t="s">
        <v>248</v>
      </c>
      <c r="G33" s="14">
        <v>18</v>
      </c>
      <c r="H33" s="14"/>
      <c r="I33" s="14"/>
    </row>
    <row r="34" s="13" customFormat="1" spans="1:9">
      <c r="A34" s="14"/>
      <c r="B34" s="15"/>
      <c r="C34" s="14"/>
      <c r="D34" s="15"/>
      <c r="E34" s="14"/>
      <c r="F34" s="19" t="s">
        <v>810</v>
      </c>
      <c r="G34" s="14">
        <v>13</v>
      </c>
      <c r="H34" s="14"/>
      <c r="I34" s="14"/>
    </row>
    <row r="35" s="13" customFormat="1" spans="1:9">
      <c r="A35" s="14"/>
      <c r="B35" s="15"/>
      <c r="C35" s="14"/>
      <c r="D35" s="15"/>
      <c r="E35" s="14"/>
      <c r="F35" s="19" t="s">
        <v>117</v>
      </c>
      <c r="G35" s="14">
        <v>16</v>
      </c>
      <c r="H35" s="14"/>
      <c r="I35" s="14"/>
    </row>
    <row r="36" s="13" customFormat="1" spans="1:9">
      <c r="A36" s="14"/>
      <c r="B36" s="15"/>
      <c r="C36" s="14"/>
      <c r="D36" s="15"/>
      <c r="E36" s="14"/>
      <c r="F36" s="19" t="s">
        <v>118</v>
      </c>
      <c r="G36" s="14">
        <v>20</v>
      </c>
      <c r="H36" s="14"/>
      <c r="I36" s="14"/>
    </row>
    <row r="37" s="13" customFormat="1" spans="1:9">
      <c r="A37" s="14">
        <v>8</v>
      </c>
      <c r="B37" s="15" t="s">
        <v>820</v>
      </c>
      <c r="C37" s="14"/>
      <c r="D37" s="15"/>
      <c r="E37" s="14"/>
      <c r="F37" s="19" t="s">
        <v>44</v>
      </c>
      <c r="G37" s="14">
        <v>11.5</v>
      </c>
      <c r="H37" s="14"/>
      <c r="I37" s="24"/>
    </row>
    <row r="38" s="13" customFormat="1" spans="1:9">
      <c r="A38" s="14"/>
      <c r="B38" s="15"/>
      <c r="C38" s="14"/>
      <c r="D38" s="15"/>
      <c r="E38" s="14"/>
      <c r="F38" s="19" t="s">
        <v>67</v>
      </c>
      <c r="G38" s="14">
        <v>14</v>
      </c>
      <c r="H38" s="14"/>
      <c r="I38" s="25"/>
    </row>
    <row r="39" s="13" customFormat="1" spans="1:9">
      <c r="A39" s="14"/>
      <c r="B39" s="15"/>
      <c r="C39" s="14"/>
      <c r="D39" s="15"/>
      <c r="E39" s="14"/>
      <c r="F39" s="19" t="s">
        <v>49</v>
      </c>
      <c r="G39" s="14">
        <v>18</v>
      </c>
      <c r="H39" s="14"/>
      <c r="I39" s="25"/>
    </row>
    <row r="40" s="13" customFormat="1" spans="1:9">
      <c r="A40" s="14"/>
      <c r="B40" s="15"/>
      <c r="C40" s="14"/>
      <c r="D40" s="15"/>
      <c r="E40" s="14"/>
      <c r="F40" s="19" t="s">
        <v>117</v>
      </c>
      <c r="G40" s="14">
        <v>17.5</v>
      </c>
      <c r="H40" s="14"/>
      <c r="I40" s="26"/>
    </row>
    <row r="41" s="13" customFormat="1" spans="1:9">
      <c r="A41" s="24">
        <v>9</v>
      </c>
      <c r="B41" s="27" t="s">
        <v>689</v>
      </c>
      <c r="C41" s="24"/>
      <c r="D41" s="27"/>
      <c r="E41" s="24"/>
      <c r="F41" s="19" t="s">
        <v>44</v>
      </c>
      <c r="G41" s="14">
        <v>11</v>
      </c>
      <c r="H41" s="14"/>
      <c r="I41" s="24"/>
    </row>
    <row r="42" s="13" customFormat="1" spans="1:9">
      <c r="A42" s="25"/>
      <c r="B42" s="28"/>
      <c r="C42" s="25"/>
      <c r="D42" s="28"/>
      <c r="E42" s="25"/>
      <c r="F42" s="19" t="s">
        <v>67</v>
      </c>
      <c r="G42" s="14">
        <v>12.8</v>
      </c>
      <c r="H42" s="14"/>
      <c r="I42" s="25"/>
    </row>
    <row r="43" s="13" customFormat="1" spans="1:9">
      <c r="A43" s="25"/>
      <c r="B43" s="28"/>
      <c r="C43" s="25"/>
      <c r="D43" s="28"/>
      <c r="E43" s="25"/>
      <c r="F43" s="19" t="s">
        <v>49</v>
      </c>
      <c r="G43" s="14">
        <v>16</v>
      </c>
      <c r="H43" s="14"/>
      <c r="I43" s="25"/>
    </row>
    <row r="44" s="13" customFormat="1" spans="1:9">
      <c r="A44" s="25"/>
      <c r="B44" s="28"/>
      <c r="C44" s="25"/>
      <c r="D44" s="28"/>
      <c r="E44" s="25"/>
      <c r="F44" s="19" t="s">
        <v>248</v>
      </c>
      <c r="G44" s="14"/>
      <c r="H44" s="14"/>
      <c r="I44" s="25"/>
    </row>
    <row r="45" s="13" customFormat="1" spans="1:9">
      <c r="A45" s="25"/>
      <c r="B45" s="28"/>
      <c r="C45" s="25"/>
      <c r="D45" s="28"/>
      <c r="E45" s="25"/>
      <c r="F45" s="19" t="s">
        <v>810</v>
      </c>
      <c r="G45" s="14">
        <v>13</v>
      </c>
      <c r="H45" s="14"/>
      <c r="I45" s="25"/>
    </row>
    <row r="46" s="13" customFormat="1" spans="1:9">
      <c r="A46" s="25"/>
      <c r="B46" s="28"/>
      <c r="C46" s="25"/>
      <c r="D46" s="28"/>
      <c r="E46" s="25"/>
      <c r="F46" s="19" t="s">
        <v>117</v>
      </c>
      <c r="G46" s="14">
        <v>16</v>
      </c>
      <c r="H46" s="14"/>
      <c r="I46" s="25"/>
    </row>
    <row r="47" s="13" customFormat="1" spans="1:9">
      <c r="A47" s="26"/>
      <c r="B47" s="29"/>
      <c r="C47" s="26"/>
      <c r="D47" s="29"/>
      <c r="E47" s="26"/>
      <c r="F47" s="19" t="s">
        <v>118</v>
      </c>
      <c r="G47" s="14">
        <v>20</v>
      </c>
      <c r="H47" s="14"/>
      <c r="I47" s="26"/>
    </row>
    <row r="48" s="13" customFormat="1" spans="1:9">
      <c r="A48" s="14">
        <v>10</v>
      </c>
      <c r="B48" s="15" t="s">
        <v>104</v>
      </c>
      <c r="C48" s="14"/>
      <c r="D48" s="15"/>
      <c r="E48" s="14"/>
      <c r="F48" s="19" t="s">
        <v>49</v>
      </c>
      <c r="G48" s="14">
        <v>15.8</v>
      </c>
      <c r="H48" s="14"/>
      <c r="I48" s="14"/>
    </row>
    <row r="49" s="13" customFormat="1" spans="1:9">
      <c r="A49" s="24">
        <v>11</v>
      </c>
      <c r="B49" s="27" t="s">
        <v>131</v>
      </c>
      <c r="C49" s="24"/>
      <c r="D49" s="27"/>
      <c r="E49" s="24"/>
      <c r="F49" s="19" t="s">
        <v>44</v>
      </c>
      <c r="G49" s="30">
        <v>10.2</v>
      </c>
      <c r="H49" s="30"/>
      <c r="I49" s="31" t="s">
        <v>821</v>
      </c>
    </row>
    <row r="50" s="13" customFormat="1" spans="1:9">
      <c r="A50" s="25"/>
      <c r="B50" s="28"/>
      <c r="C50" s="25"/>
      <c r="D50" s="28"/>
      <c r="E50" s="25"/>
      <c r="F50" s="19" t="s">
        <v>67</v>
      </c>
      <c r="G50" s="30">
        <v>12.2</v>
      </c>
      <c r="H50" s="30"/>
      <c r="I50" s="32"/>
    </row>
    <row r="51" s="13" customFormat="1" spans="1:9">
      <c r="A51" s="25"/>
      <c r="B51" s="28"/>
      <c r="C51" s="25"/>
      <c r="D51" s="28"/>
      <c r="E51" s="25"/>
      <c r="F51" s="19" t="s">
        <v>49</v>
      </c>
      <c r="G51" s="30">
        <v>15.2</v>
      </c>
      <c r="H51" s="30"/>
      <c r="I51" s="32"/>
    </row>
    <row r="52" s="13" customFormat="1" spans="1:9">
      <c r="A52" s="25"/>
      <c r="B52" s="28"/>
      <c r="C52" s="25"/>
      <c r="D52" s="28"/>
      <c r="E52" s="25"/>
      <c r="F52" s="19" t="s">
        <v>248</v>
      </c>
      <c r="G52" s="30"/>
      <c r="H52" s="30"/>
      <c r="I52" s="32"/>
    </row>
    <row r="53" s="13" customFormat="1" spans="1:9">
      <c r="A53" s="25"/>
      <c r="B53" s="28"/>
      <c r="C53" s="25"/>
      <c r="D53" s="28"/>
      <c r="E53" s="25"/>
      <c r="F53" s="19" t="s">
        <v>810</v>
      </c>
      <c r="G53" s="30"/>
      <c r="H53" s="30"/>
      <c r="I53" s="32"/>
    </row>
    <row r="54" s="13" customFormat="1" spans="1:9">
      <c r="A54" s="25"/>
      <c r="B54" s="28"/>
      <c r="C54" s="25"/>
      <c r="D54" s="28"/>
      <c r="E54" s="25"/>
      <c r="F54" s="19" t="s">
        <v>117</v>
      </c>
      <c r="G54" s="30"/>
      <c r="H54" s="30"/>
      <c r="I54" s="32"/>
    </row>
    <row r="55" s="13" customFormat="1" spans="1:9">
      <c r="A55" s="25"/>
      <c r="B55" s="28"/>
      <c r="C55" s="25"/>
      <c r="D55" s="28"/>
      <c r="E55" s="25"/>
      <c r="F55" s="22" t="s">
        <v>822</v>
      </c>
      <c r="G55" s="30">
        <v>15.5</v>
      </c>
      <c r="H55" s="30"/>
      <c r="I55" s="33"/>
    </row>
    <row r="56" s="13" customFormat="1" spans="1:9">
      <c r="A56" s="26"/>
      <c r="B56" s="29"/>
      <c r="C56" s="26"/>
      <c r="D56" s="29"/>
      <c r="E56" s="26"/>
      <c r="F56" s="30" t="s">
        <v>823</v>
      </c>
      <c r="G56" s="30">
        <v>19</v>
      </c>
      <c r="H56" s="30"/>
      <c r="I56" s="34"/>
    </row>
    <row r="57" s="13" customFormat="1" spans="1:9">
      <c r="A57" s="24">
        <v>12</v>
      </c>
      <c r="B57" s="27" t="s">
        <v>824</v>
      </c>
      <c r="C57" s="24">
        <v>19548816408</v>
      </c>
      <c r="D57" s="27" t="s">
        <v>825</v>
      </c>
      <c r="E57" s="24" t="s">
        <v>826</v>
      </c>
      <c r="F57" s="19" t="s">
        <v>67</v>
      </c>
      <c r="G57" s="14">
        <v>12.2</v>
      </c>
      <c r="H57" s="14"/>
      <c r="I57" s="14"/>
    </row>
    <row r="58" s="13" customFormat="1" spans="1:9">
      <c r="A58" s="26"/>
      <c r="B58" s="29"/>
      <c r="C58" s="26"/>
      <c r="D58" s="29"/>
      <c r="E58" s="26"/>
      <c r="F58" s="19" t="s">
        <v>49</v>
      </c>
      <c r="G58" s="14">
        <v>15.3</v>
      </c>
      <c r="H58" s="14"/>
      <c r="I58" s="14"/>
    </row>
    <row r="59" s="13" customFormat="1" ht="30" spans="1:9">
      <c r="A59" s="14">
        <v>13</v>
      </c>
      <c r="B59" s="15" t="s">
        <v>827</v>
      </c>
      <c r="C59" s="14">
        <v>19557958297</v>
      </c>
      <c r="D59" s="15" t="s">
        <v>828</v>
      </c>
      <c r="E59" s="14" t="s">
        <v>827</v>
      </c>
      <c r="F59" s="19" t="s">
        <v>67</v>
      </c>
      <c r="G59" s="14">
        <v>12.6</v>
      </c>
      <c r="H59" s="14"/>
      <c r="I59" s="14" t="s">
        <v>829</v>
      </c>
    </row>
    <row r="60" s="13" customFormat="1" ht="45" spans="1:9">
      <c r="A60" s="14">
        <v>14</v>
      </c>
      <c r="B60" s="15" t="s">
        <v>30</v>
      </c>
      <c r="C60" s="14">
        <v>13567884281</v>
      </c>
      <c r="D60" s="35" t="s">
        <v>830</v>
      </c>
      <c r="E60" s="14" t="s">
        <v>30</v>
      </c>
      <c r="F60" s="14" t="s">
        <v>248</v>
      </c>
      <c r="G60" s="14">
        <v>20</v>
      </c>
      <c r="H60" s="14"/>
      <c r="I60" s="14" t="s">
        <v>831</v>
      </c>
    </row>
    <row r="61" s="13" customFormat="1" ht="56" customHeight="1" spans="1:9">
      <c r="A61" s="14">
        <v>15</v>
      </c>
      <c r="B61" s="15" t="s">
        <v>142</v>
      </c>
      <c r="C61" s="15" t="s">
        <v>832</v>
      </c>
      <c r="D61" s="15" t="s">
        <v>833</v>
      </c>
      <c r="E61" s="14" t="s">
        <v>834</v>
      </c>
      <c r="F61" s="14" t="s">
        <v>49</v>
      </c>
      <c r="G61" s="14">
        <v>15.6</v>
      </c>
      <c r="H61" s="14"/>
      <c r="I61" s="15" t="s">
        <v>835</v>
      </c>
    </row>
    <row r="62" s="13" customFormat="1" spans="1:9">
      <c r="A62" s="24">
        <v>16</v>
      </c>
      <c r="B62" s="27" t="s">
        <v>187</v>
      </c>
      <c r="C62" s="24" t="s">
        <v>836</v>
      </c>
      <c r="D62" s="27" t="s">
        <v>837</v>
      </c>
      <c r="E62" s="24" t="s">
        <v>838</v>
      </c>
      <c r="F62" s="14" t="s">
        <v>44</v>
      </c>
      <c r="G62" s="14">
        <v>11.5</v>
      </c>
      <c r="H62" s="14"/>
      <c r="I62" s="24"/>
    </row>
    <row r="63" s="13" customFormat="1" spans="1:9">
      <c r="A63" s="25"/>
      <c r="B63" s="28"/>
      <c r="C63" s="25"/>
      <c r="D63" s="28"/>
      <c r="E63" s="25"/>
      <c r="F63" s="14" t="s">
        <v>67</v>
      </c>
      <c r="G63" s="14">
        <v>14</v>
      </c>
      <c r="H63" s="14"/>
      <c r="I63" s="25"/>
    </row>
    <row r="64" s="13" customFormat="1" spans="1:9">
      <c r="A64" s="25"/>
      <c r="B64" s="28"/>
      <c r="C64" s="25"/>
      <c r="D64" s="28"/>
      <c r="E64" s="25"/>
      <c r="F64" s="14" t="s">
        <v>49</v>
      </c>
      <c r="G64" s="14">
        <v>18</v>
      </c>
      <c r="H64" s="14"/>
      <c r="I64" s="25"/>
    </row>
    <row r="65" s="13" customFormat="1" spans="1:9">
      <c r="A65" s="26"/>
      <c r="B65" s="29"/>
      <c r="C65" s="26"/>
      <c r="D65" s="29"/>
      <c r="E65" s="26"/>
      <c r="F65" s="14" t="s">
        <v>839</v>
      </c>
      <c r="G65" s="14">
        <v>17.5</v>
      </c>
      <c r="H65" s="14"/>
      <c r="I65" s="26"/>
    </row>
  </sheetData>
  <mergeCells count="66">
    <mergeCell ref="A1:I1"/>
    <mergeCell ref="A3:A6"/>
    <mergeCell ref="A7:A9"/>
    <mergeCell ref="A11:A16"/>
    <mergeCell ref="A17:A20"/>
    <mergeCell ref="A21:A29"/>
    <mergeCell ref="A30:A36"/>
    <mergeCell ref="A37:A40"/>
    <mergeCell ref="A41:A47"/>
    <mergeCell ref="A49:A56"/>
    <mergeCell ref="A57:A58"/>
    <mergeCell ref="A62:A65"/>
    <mergeCell ref="B3:B6"/>
    <mergeCell ref="B7:B9"/>
    <mergeCell ref="B11:B16"/>
    <mergeCell ref="B17:B20"/>
    <mergeCell ref="B21:B29"/>
    <mergeCell ref="B30:B36"/>
    <mergeCell ref="B37:B40"/>
    <mergeCell ref="B41:B47"/>
    <mergeCell ref="B49:B56"/>
    <mergeCell ref="B57:B58"/>
    <mergeCell ref="B62:B65"/>
    <mergeCell ref="C3:C6"/>
    <mergeCell ref="C7:C9"/>
    <mergeCell ref="C11:C16"/>
    <mergeCell ref="C17:C20"/>
    <mergeCell ref="C21:C29"/>
    <mergeCell ref="C30:C36"/>
    <mergeCell ref="C37:C40"/>
    <mergeCell ref="C41:C47"/>
    <mergeCell ref="C49:C56"/>
    <mergeCell ref="C57:C58"/>
    <mergeCell ref="C62:C65"/>
    <mergeCell ref="D3:D6"/>
    <mergeCell ref="D7:D9"/>
    <mergeCell ref="D11:D16"/>
    <mergeCell ref="D17:D20"/>
    <mergeCell ref="D21:D29"/>
    <mergeCell ref="D30:D36"/>
    <mergeCell ref="D37:D40"/>
    <mergeCell ref="D41:D47"/>
    <mergeCell ref="D49:D56"/>
    <mergeCell ref="D57:D58"/>
    <mergeCell ref="D62:D65"/>
    <mergeCell ref="E3:E6"/>
    <mergeCell ref="E7:E9"/>
    <mergeCell ref="E11:E16"/>
    <mergeCell ref="E17:E20"/>
    <mergeCell ref="E21:E29"/>
    <mergeCell ref="E30:E36"/>
    <mergeCell ref="E37:E40"/>
    <mergeCell ref="E41:E47"/>
    <mergeCell ref="E49:E56"/>
    <mergeCell ref="E57:E58"/>
    <mergeCell ref="E62:E65"/>
    <mergeCell ref="I3:I6"/>
    <mergeCell ref="I7:I9"/>
    <mergeCell ref="I11:I16"/>
    <mergeCell ref="I17:I20"/>
    <mergeCell ref="I21:I29"/>
    <mergeCell ref="I30:I36"/>
    <mergeCell ref="I37:I40"/>
    <mergeCell ref="I41:I47"/>
    <mergeCell ref="I49:I56"/>
    <mergeCell ref="I62:I65"/>
  </mergeCells>
  <conditionalFormatting sqref="A3:D3">
    <cfRule type="expression" dxfId="0" priority="10">
      <formula>MOD(ROW(),2)=0</formula>
    </cfRule>
  </conditionalFormatting>
  <conditionalFormatting sqref="B7">
    <cfRule type="expression" dxfId="0" priority="9">
      <formula>MOD(ROW(),2)=0</formula>
    </cfRule>
  </conditionalFormatting>
  <conditionalFormatting sqref="C7">
    <cfRule type="expression" dxfId="0" priority="8">
      <formula>MOD(ROW(),2)=0</formula>
    </cfRule>
  </conditionalFormatting>
  <conditionalFormatting sqref="D7">
    <cfRule type="expression" dxfId="0" priority="7">
      <formula>MOD(ROW(),2)=0</formula>
    </cfRule>
  </conditionalFormatting>
  <conditionalFormatting sqref="E7">
    <cfRule type="expression" dxfId="0" priority="6">
      <formula>MOD(ROW(),2)=0</formula>
    </cfRule>
  </conditionalFormatting>
  <conditionalFormatting sqref="I7">
    <cfRule type="expression" dxfId="0" priority="2">
      <formula>MOD(ROW(),2)=0</formula>
    </cfRule>
  </conditionalFormatting>
  <conditionalFormatting sqref="F9">
    <cfRule type="expression" dxfId="0" priority="5">
      <formula>MOD(ROW(),2)=0</formula>
    </cfRule>
  </conditionalFormatting>
  <conditionalFormatting sqref="G9">
    <cfRule type="expression" dxfId="0" priority="4">
      <formula>MOD(ROW(),2)=0</formula>
    </cfRule>
  </conditionalFormatting>
  <conditionalFormatting sqref="H9">
    <cfRule type="expression" dxfId="0" priority="3">
      <formula>MOD(ROW(),2)=0</formula>
    </cfRule>
  </conditionalFormatting>
  <conditionalFormatting sqref="F10">
    <cfRule type="expression" dxfId="0" priority="1">
      <formula>MOD(ROW(),2)=0</formula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L36"/>
  <sheetViews>
    <sheetView workbookViewId="0">
      <selection activeCell="J505" sqref="J505"/>
    </sheetView>
  </sheetViews>
  <sheetFormatPr defaultColWidth="8.66666666666667" defaultRowHeight="15"/>
  <cols>
    <col min="2" max="2" width="28.3333333333333" customWidth="1"/>
    <col min="7" max="7" width="22.75" customWidth="1"/>
  </cols>
  <sheetData>
    <row r="7" spans="2:12">
      <c r="B7" s="4" t="s">
        <v>44</v>
      </c>
    </row>
    <row r="8" spans="2:12">
      <c r="B8" t="s">
        <v>41</v>
      </c>
    </row>
    <row r="9" spans="2:12">
      <c r="B9" s="5" t="s">
        <v>79</v>
      </c>
    </row>
    <row r="10" spans="2:12">
      <c r="D10" s="6" t="s">
        <v>774</v>
      </c>
      <c r="E10" s="7"/>
      <c r="F10" s="7"/>
      <c r="G10" s="8" t="s">
        <v>775</v>
      </c>
      <c r="H10" s="9" t="s">
        <v>776</v>
      </c>
      <c r="I10" s="10">
        <v>12</v>
      </c>
      <c r="J10" s="10">
        <v>10</v>
      </c>
      <c r="K10" s="11">
        <f t="shared" ref="K10:K13" si="0">I10*J10</f>
        <v>120</v>
      </c>
      <c r="L10" s="11" t="s">
        <v>24</v>
      </c>
    </row>
    <row r="11" spans="2:12">
      <c r="D11" s="6" t="s">
        <v>778</v>
      </c>
      <c r="E11" s="7"/>
      <c r="F11" s="7"/>
      <c r="G11" s="8" t="s">
        <v>779</v>
      </c>
      <c r="H11" s="9" t="s">
        <v>261</v>
      </c>
      <c r="I11" s="10">
        <v>12</v>
      </c>
      <c r="J11" s="10">
        <v>80</v>
      </c>
      <c r="K11" s="11">
        <f t="shared" si="0"/>
        <v>960</v>
      </c>
      <c r="L11" s="11" t="s">
        <v>24</v>
      </c>
    </row>
    <row r="12" spans="2:12">
      <c r="D12" s="6" t="s">
        <v>778</v>
      </c>
      <c r="E12" s="7"/>
      <c r="F12" s="7"/>
      <c r="G12" s="8" t="s">
        <v>779</v>
      </c>
      <c r="H12" s="9" t="s">
        <v>781</v>
      </c>
      <c r="I12" s="10">
        <v>12</v>
      </c>
      <c r="J12" s="10">
        <v>50</v>
      </c>
      <c r="K12" s="11">
        <f t="shared" si="0"/>
        <v>600</v>
      </c>
      <c r="L12" s="11" t="s">
        <v>24</v>
      </c>
    </row>
    <row r="13" spans="2:12">
      <c r="D13" s="6" t="s">
        <v>778</v>
      </c>
      <c r="E13" s="7"/>
      <c r="F13" s="7"/>
      <c r="G13" s="8" t="s">
        <v>779</v>
      </c>
      <c r="H13" s="9" t="s">
        <v>642</v>
      </c>
      <c r="I13" s="10">
        <v>12</v>
      </c>
      <c r="J13" s="10">
        <v>30</v>
      </c>
      <c r="K13" s="11">
        <f t="shared" si="0"/>
        <v>360</v>
      </c>
      <c r="L13" s="11" t="s">
        <v>24</v>
      </c>
    </row>
    <row r="19" spans="2:12">
      <c r="D19" s="6" t="s">
        <v>774</v>
      </c>
      <c r="E19" s="7"/>
      <c r="F19" s="7"/>
      <c r="G19" s="8" t="s">
        <v>775</v>
      </c>
      <c r="H19" s="9" t="s">
        <v>776</v>
      </c>
      <c r="I19" s="10">
        <v>12</v>
      </c>
      <c r="J19" s="10">
        <v>10</v>
      </c>
      <c r="K19" s="11">
        <f t="shared" ref="K19:K22" si="1">I19*J19</f>
        <v>120</v>
      </c>
      <c r="L19" s="11" t="s">
        <v>24</v>
      </c>
    </row>
    <row r="20" spans="2:12">
      <c r="D20" s="6" t="s">
        <v>778</v>
      </c>
      <c r="E20" s="7"/>
      <c r="F20" s="7"/>
      <c r="G20" s="8" t="s">
        <v>779</v>
      </c>
      <c r="H20" s="9" t="s">
        <v>261</v>
      </c>
      <c r="I20" s="10">
        <v>12</v>
      </c>
      <c r="J20" s="10">
        <v>80</v>
      </c>
      <c r="K20" s="11">
        <f t="shared" si="1"/>
        <v>960</v>
      </c>
      <c r="L20" s="11" t="s">
        <v>24</v>
      </c>
    </row>
    <row r="21" spans="2:12">
      <c r="D21" s="6" t="s">
        <v>778</v>
      </c>
      <c r="E21" s="7"/>
      <c r="F21" s="7"/>
      <c r="G21" s="8" t="s">
        <v>779</v>
      </c>
      <c r="H21" s="9" t="s">
        <v>781</v>
      </c>
      <c r="I21" s="10">
        <v>12</v>
      </c>
      <c r="J21" s="10">
        <v>50</v>
      </c>
      <c r="K21" s="11">
        <f t="shared" si="1"/>
        <v>600</v>
      </c>
      <c r="L21" s="11" t="s">
        <v>24</v>
      </c>
    </row>
    <row r="22" spans="2:12">
      <c r="D22" s="6" t="s">
        <v>778</v>
      </c>
      <c r="E22" s="7"/>
      <c r="F22" s="7"/>
      <c r="G22" s="8" t="s">
        <v>779</v>
      </c>
      <c r="H22" s="9" t="s">
        <v>642</v>
      </c>
      <c r="I22" s="10">
        <v>12</v>
      </c>
      <c r="J22" s="10">
        <v>30</v>
      </c>
      <c r="K22" s="11">
        <f t="shared" si="1"/>
        <v>360</v>
      </c>
      <c r="L22" s="11" t="s">
        <v>24</v>
      </c>
    </row>
    <row r="29" spans="2:12">
      <c r="B29" t="s">
        <v>248</v>
      </c>
    </row>
    <row r="30" spans="2:12">
      <c r="B30" s="12" t="s">
        <v>221</v>
      </c>
    </row>
    <row r="35" spans="2:2">
      <c r="B35" s="4" t="s">
        <v>74</v>
      </c>
    </row>
    <row r="36" spans="2:2">
      <c r="B36" s="4" t="s">
        <v>76</v>
      </c>
    </row>
  </sheetData>
  <conditionalFormatting sqref="K10">
    <cfRule type="expression" dxfId="0" priority="12">
      <formula>MOD(ROW(),2)=0</formula>
    </cfRule>
  </conditionalFormatting>
  <conditionalFormatting sqref="L10">
    <cfRule type="expression" dxfId="0" priority="16">
      <formula>MOD(ROW(),2)=0</formula>
    </cfRule>
  </conditionalFormatting>
  <conditionalFormatting sqref="K11">
    <cfRule type="expression" dxfId="0" priority="11">
      <formula>MOD(ROW(),2)=0</formula>
    </cfRule>
  </conditionalFormatting>
  <conditionalFormatting sqref="L11">
    <cfRule type="expression" dxfId="0" priority="15">
      <formula>MOD(ROW(),2)=0</formula>
    </cfRule>
  </conditionalFormatting>
  <conditionalFormatting sqref="K12">
    <cfRule type="expression" dxfId="0" priority="10">
      <formula>MOD(ROW(),2)=0</formula>
    </cfRule>
  </conditionalFormatting>
  <conditionalFormatting sqref="L12">
    <cfRule type="expression" dxfId="0" priority="14">
      <formula>MOD(ROW(),2)=0</formula>
    </cfRule>
  </conditionalFormatting>
  <conditionalFormatting sqref="K13">
    <cfRule type="expression" dxfId="0" priority="9">
      <formula>MOD(ROW(),2)=0</formula>
    </cfRule>
  </conditionalFormatting>
  <conditionalFormatting sqref="L13">
    <cfRule type="expression" dxfId="0" priority="13">
      <formula>MOD(ROW(),2)=0</formula>
    </cfRule>
  </conditionalFormatting>
  <conditionalFormatting sqref="K19">
    <cfRule type="expression" dxfId="0" priority="4">
      <formula>MOD(ROW(),2)=0</formula>
    </cfRule>
  </conditionalFormatting>
  <conditionalFormatting sqref="L19">
    <cfRule type="expression" dxfId="0" priority="8">
      <formula>MOD(ROW(),2)=0</formula>
    </cfRule>
  </conditionalFormatting>
  <conditionalFormatting sqref="K20">
    <cfRule type="expression" dxfId="0" priority="3">
      <formula>MOD(ROW(),2)=0</formula>
    </cfRule>
  </conditionalFormatting>
  <conditionalFormatting sqref="L20">
    <cfRule type="expression" dxfId="0" priority="7">
      <formula>MOD(ROW(),2)=0</formula>
    </cfRule>
  </conditionalFormatting>
  <conditionalFormatting sqref="K21">
    <cfRule type="expression" dxfId="0" priority="2">
      <formula>MOD(ROW(),2)=0</formula>
    </cfRule>
  </conditionalFormatting>
  <conditionalFormatting sqref="L21">
    <cfRule type="expression" dxfId="0" priority="6">
      <formula>MOD(ROW(),2)=0</formula>
    </cfRule>
  </conditionalFormatting>
  <conditionalFormatting sqref="K22">
    <cfRule type="expression" dxfId="0" priority="1">
      <formula>MOD(ROW(),2)=0</formula>
    </cfRule>
  </conditionalFormatting>
  <conditionalFormatting sqref="L22">
    <cfRule type="expression" dxfId="0" priority="5">
      <formula>MOD(ROW(),2)=0</formula>
    </cfRule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18"/>
  <sheetViews>
    <sheetView workbookViewId="0">
      <selection activeCell="J505" sqref="J505"/>
    </sheetView>
  </sheetViews>
  <sheetFormatPr defaultColWidth="8.66666666666667" defaultRowHeight="15"/>
  <cols>
    <col min="24" max="24" width="8.66666666666667" style="2"/>
    <col min="27" max="27" width="12.6666666666667"/>
  </cols>
  <sheetData>
    <row r="2" spans="1:27"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AA2" t="s">
        <v>840</v>
      </c>
    </row>
    <row r="3" spans="1:27">
      <c r="A3" t="s">
        <v>841</v>
      </c>
      <c r="B3">
        <v>6000</v>
      </c>
      <c r="D3">
        <v>13</v>
      </c>
      <c r="E3">
        <v>14</v>
      </c>
      <c r="F3">
        <v>15</v>
      </c>
      <c r="G3">
        <v>16</v>
      </c>
      <c r="H3">
        <v>17</v>
      </c>
      <c r="I3">
        <v>18</v>
      </c>
      <c r="J3">
        <v>19</v>
      </c>
      <c r="K3">
        <v>20</v>
      </c>
      <c r="L3">
        <v>21</v>
      </c>
      <c r="M3">
        <v>22</v>
      </c>
      <c r="O3">
        <v>24</v>
      </c>
      <c r="P3">
        <v>25</v>
      </c>
      <c r="Q3">
        <v>26</v>
      </c>
      <c r="R3">
        <v>27</v>
      </c>
      <c r="S3">
        <v>28</v>
      </c>
      <c r="T3">
        <v>29</v>
      </c>
      <c r="U3">
        <v>30</v>
      </c>
      <c r="W3">
        <f>35/2</f>
        <v>17.5</v>
      </c>
      <c r="X3" s="2">
        <f>18/9</f>
        <v>2</v>
      </c>
      <c r="Z3">
        <f>W3+X3</f>
        <v>19.5</v>
      </c>
      <c r="AA3" s="3">
        <f>Z3/30*B3</f>
        <v>3900</v>
      </c>
    </row>
    <row r="4" spans="1:27">
      <c r="D4">
        <v>13</v>
      </c>
      <c r="E4">
        <v>14</v>
      </c>
      <c r="F4">
        <v>15</v>
      </c>
      <c r="G4">
        <v>16</v>
      </c>
      <c r="H4">
        <v>17</v>
      </c>
      <c r="I4">
        <v>18</v>
      </c>
      <c r="J4">
        <v>19</v>
      </c>
      <c r="K4">
        <v>20</v>
      </c>
      <c r="L4">
        <v>21</v>
      </c>
      <c r="M4">
        <v>22</v>
      </c>
      <c r="N4">
        <v>23</v>
      </c>
      <c r="O4">
        <v>24</v>
      </c>
      <c r="P4">
        <v>25</v>
      </c>
      <c r="Q4">
        <v>26</v>
      </c>
      <c r="R4">
        <v>27</v>
      </c>
      <c r="S4">
        <v>28</v>
      </c>
      <c r="T4">
        <v>29</v>
      </c>
      <c r="U4">
        <v>30</v>
      </c>
    </row>
    <row r="6" spans="1:27"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</row>
    <row r="7" spans="1:27">
      <c r="A7" t="s">
        <v>842</v>
      </c>
      <c r="B7">
        <v>5500</v>
      </c>
      <c r="D7">
        <v>13</v>
      </c>
      <c r="E7">
        <v>14</v>
      </c>
      <c r="F7">
        <v>15</v>
      </c>
      <c r="G7">
        <v>16</v>
      </c>
      <c r="H7">
        <v>17</v>
      </c>
      <c r="I7">
        <v>18</v>
      </c>
      <c r="J7">
        <v>19</v>
      </c>
      <c r="K7">
        <v>20</v>
      </c>
      <c r="L7">
        <v>21</v>
      </c>
      <c r="M7">
        <v>22</v>
      </c>
      <c r="W7">
        <v>10</v>
      </c>
      <c r="X7" s="2">
        <f>18/9</f>
        <v>2</v>
      </c>
      <c r="Z7">
        <f>W7+X7</f>
        <v>12</v>
      </c>
      <c r="AA7" s="3">
        <f>Z7/30*B7</f>
        <v>2200</v>
      </c>
    </row>
    <row r="8" spans="1:27">
      <c r="D8">
        <v>13</v>
      </c>
      <c r="E8">
        <v>14</v>
      </c>
      <c r="F8">
        <v>15</v>
      </c>
      <c r="G8">
        <v>16</v>
      </c>
      <c r="H8">
        <v>17</v>
      </c>
      <c r="I8">
        <v>18</v>
      </c>
      <c r="J8">
        <v>19</v>
      </c>
      <c r="K8">
        <v>20</v>
      </c>
      <c r="L8">
        <v>21</v>
      </c>
      <c r="M8">
        <v>22</v>
      </c>
    </row>
    <row r="17" spans="1:27">
      <c r="A17" t="s">
        <v>841</v>
      </c>
      <c r="B17">
        <v>6000</v>
      </c>
      <c r="D17">
        <v>1</v>
      </c>
      <c r="E17">
        <v>2</v>
      </c>
      <c r="F17">
        <v>3</v>
      </c>
      <c r="G17">
        <v>4</v>
      </c>
      <c r="H17">
        <v>5</v>
      </c>
      <c r="I17">
        <v>6</v>
      </c>
      <c r="J17">
        <v>7</v>
      </c>
      <c r="K17">
        <v>8</v>
      </c>
      <c r="L17">
        <v>9</v>
      </c>
      <c r="M17">
        <v>10</v>
      </c>
      <c r="N17">
        <v>11</v>
      </c>
      <c r="O17">
        <v>12</v>
      </c>
      <c r="P17">
        <v>13</v>
      </c>
      <c r="Q17">
        <v>14</v>
      </c>
      <c r="R17">
        <v>15</v>
      </c>
      <c r="S17">
        <v>16</v>
      </c>
      <c r="T17">
        <v>17</v>
      </c>
      <c r="W17">
        <v>16.5</v>
      </c>
      <c r="Z17">
        <v>16.5</v>
      </c>
      <c r="AA17" s="3">
        <f>Z17/30*B17</f>
        <v>3300</v>
      </c>
    </row>
    <row r="18" spans="1:27">
      <c r="D18">
        <v>1</v>
      </c>
      <c r="E18">
        <v>2</v>
      </c>
      <c r="F18">
        <v>3</v>
      </c>
      <c r="G18">
        <v>4</v>
      </c>
      <c r="H18">
        <v>5</v>
      </c>
      <c r="I18">
        <v>6</v>
      </c>
      <c r="J18">
        <v>7</v>
      </c>
      <c r="K18">
        <v>8</v>
      </c>
      <c r="L18">
        <v>9</v>
      </c>
      <c r="M18">
        <v>10</v>
      </c>
      <c r="N18">
        <v>11</v>
      </c>
      <c r="O18">
        <v>12</v>
      </c>
      <c r="P18">
        <v>13</v>
      </c>
      <c r="Q18">
        <v>14</v>
      </c>
      <c r="R18">
        <v>15</v>
      </c>
      <c r="S18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J505" sqref="J505"/>
    </sheetView>
  </sheetViews>
  <sheetFormatPr defaultColWidth="9" defaultRowHeight="15" outlineLevelRow="2" outlineLevelCol="1"/>
  <cols>
    <col min="1" max="1" width="10.375" customWidth="1"/>
    <col min="2" max="2" width="12.625"/>
  </cols>
  <sheetData>
    <row r="1" spans="1:2">
      <c r="A1" s="1" t="s">
        <v>843</v>
      </c>
      <c r="B1" s="1"/>
    </row>
    <row r="2" spans="1:2">
      <c r="A2" t="s">
        <v>106</v>
      </c>
      <c r="B2">
        <v>13516897886</v>
      </c>
    </row>
    <row r="3" spans="1:2">
      <c r="A3" t="s">
        <v>814</v>
      </c>
      <c r="B3">
        <v>18967990445</v>
      </c>
    </row>
  </sheetData>
  <mergeCells count="1">
    <mergeCell ref="A1:B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出库表</vt:lpstr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2016-12-04T16:54:00Z</dcterms:created>
  <dcterms:modified xsi:type="dcterms:W3CDTF">2026-07-17T01:39:53Z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4AD278A12B014ECBA9FD3F942ED2EF86_13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