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lab\MIT Dropbox\Ingie Baho\Ingie\July 11 Culture and Experiment\"/>
    </mc:Choice>
  </mc:AlternateContent>
  <xr:revisionPtr revIDLastSave="0" documentId="13_ncr:1_{A527F35C-43D6-4AB4-BF97-DE81AEA00B2D}" xr6:coauthVersionLast="47" xr6:coauthVersionMax="47" xr10:uidLastSave="{00000000-0000-0000-0000-000000000000}"/>
  <bookViews>
    <workbookView xWindow="-120" yWindow="-120" windowWidth="29040" windowHeight="15840" activeTab="1" xr2:uid="{5136157E-76C4-5A47-9C04-02E63342ED51}"/>
  </bookViews>
  <sheets>
    <sheet name="Glucose" sheetId="1" r:id="rId1"/>
    <sheet name="dry biomass" sheetId="2" r:id="rId2"/>
    <sheet name="spectrophotometer 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3" i="2"/>
  <c r="N4" i="2"/>
  <c r="N5" i="2"/>
  <c r="N6" i="2"/>
  <c r="N7" i="2"/>
  <c r="N8" i="2"/>
  <c r="N3" i="2"/>
  <c r="M8" i="2"/>
  <c r="L8" i="2"/>
  <c r="H8" i="2"/>
  <c r="G8" i="2"/>
  <c r="J8" i="2" s="1"/>
  <c r="F8" i="2"/>
  <c r="K8" i="2"/>
  <c r="I8" i="2"/>
  <c r="N2" i="1"/>
  <c r="M2" i="1"/>
  <c r="K2" i="1"/>
  <c r="L2" i="1"/>
  <c r="J2" i="1"/>
  <c r="H2" i="1"/>
  <c r="I2" i="1"/>
  <c r="G2" i="1"/>
  <c r="E8" i="2"/>
  <c r="D8" i="2"/>
  <c r="C8" i="2"/>
  <c r="H7" i="2"/>
  <c r="K7" i="2" s="1"/>
  <c r="G7" i="2"/>
  <c r="J7" i="2" s="1"/>
  <c r="F7" i="2"/>
  <c r="I7" i="2"/>
  <c r="F8" i="3"/>
  <c r="G8" i="3"/>
  <c r="F7" i="3"/>
  <c r="G7" i="3"/>
  <c r="E7" i="2"/>
  <c r="D7" i="2"/>
  <c r="C7" i="2"/>
  <c r="M6" i="2"/>
  <c r="L6" i="2"/>
  <c r="H6" i="2"/>
  <c r="G6" i="2"/>
  <c r="J6" i="2" s="1"/>
  <c r="F6" i="2"/>
  <c r="K6" i="2"/>
  <c r="I6" i="2"/>
  <c r="E6" i="2"/>
  <c r="D6" i="2"/>
  <c r="C6" i="2"/>
  <c r="H5" i="2"/>
  <c r="G5" i="2"/>
  <c r="J5" i="2" s="1"/>
  <c r="F5" i="2"/>
  <c r="I5" i="2" s="1"/>
  <c r="F6" i="3"/>
  <c r="G6" i="3"/>
  <c r="E5" i="2"/>
  <c r="D5" i="2"/>
  <c r="C5" i="2"/>
  <c r="M4" i="2"/>
  <c r="L4" i="2"/>
  <c r="K4" i="2"/>
  <c r="H4" i="2"/>
  <c r="J4" i="2"/>
  <c r="G4" i="2"/>
  <c r="F4" i="2"/>
  <c r="I4" i="2"/>
  <c r="G5" i="3"/>
  <c r="F5" i="3"/>
  <c r="M7" i="2" l="1"/>
  <c r="L7" i="2"/>
  <c r="K5" i="2"/>
  <c r="M5" i="2"/>
  <c r="L5" i="2"/>
  <c r="E4" i="2"/>
  <c r="D4" i="2"/>
  <c r="C4" i="2"/>
  <c r="M3" i="2"/>
  <c r="L3" i="2"/>
  <c r="K3" i="2"/>
  <c r="H3" i="2"/>
  <c r="J3" i="2"/>
  <c r="G3" i="2"/>
  <c r="I3" i="2"/>
  <c r="F3" i="2"/>
  <c r="G4" i="3"/>
  <c r="F4" i="3"/>
  <c r="E3" i="2"/>
  <c r="D3" i="2"/>
  <c r="C3" i="2"/>
  <c r="M2" i="2"/>
  <c r="L2" i="2"/>
  <c r="K2" i="2"/>
  <c r="H2" i="2"/>
  <c r="J2" i="2"/>
  <c r="G2" i="2"/>
  <c r="I2" i="2"/>
  <c r="F2" i="2"/>
  <c r="G3" i="3"/>
  <c r="F3" i="3"/>
  <c r="E2" i="2"/>
  <c r="D2" i="2"/>
  <c r="C2" i="2"/>
  <c r="G2" i="3"/>
  <c r="F2" i="3"/>
</calcChain>
</file>

<file path=xl/sharedStrings.xml><?xml version="1.0" encoding="utf-8"?>
<sst xmlns="http://schemas.openxmlformats.org/spreadsheetml/2006/main" count="59" uniqueCount="46">
  <si>
    <t xml:space="preserve">Day </t>
  </si>
  <si>
    <t>Glucose (time)</t>
  </si>
  <si>
    <t xml:space="preserve">Time </t>
  </si>
  <si>
    <t xml:space="preserve">Date </t>
  </si>
  <si>
    <t>Tray 1 Pre-dry</t>
  </si>
  <si>
    <t>Tray 2 Pre-dry</t>
  </si>
  <si>
    <t>Tray 3 Pre-dry</t>
  </si>
  <si>
    <t>Tray 1 Post-dry</t>
  </si>
  <si>
    <t>Tray 2 Post-dry</t>
  </si>
  <si>
    <t>Tray 3 Post-dry</t>
  </si>
  <si>
    <t xml:space="preserve">Tray 2 Biomass </t>
  </si>
  <si>
    <t xml:space="preserve">Tray 3 Biomass </t>
  </si>
  <si>
    <t>measurement 1</t>
  </si>
  <si>
    <t>measurement 2</t>
  </si>
  <si>
    <t>measurement 3</t>
  </si>
  <si>
    <t>all taken at 680mm with volume of 100uL</t>
  </si>
  <si>
    <t>Tray 1 Biomass (g/L)</t>
  </si>
  <si>
    <t>std dev</t>
  </si>
  <si>
    <t xml:space="preserve">Avg Biomass </t>
  </si>
  <si>
    <t>avg</t>
  </si>
  <si>
    <t>Sample volume taken from reactor (mL)</t>
  </si>
  <si>
    <t xml:space="preserve">11:00AM </t>
  </si>
  <si>
    <t>11:16AM</t>
  </si>
  <si>
    <t>2:30PM</t>
  </si>
  <si>
    <t>9:30AM</t>
  </si>
  <si>
    <t>10:10AM</t>
  </si>
  <si>
    <t>slope</t>
  </si>
  <si>
    <t>intercept</t>
  </si>
  <si>
    <t>10:30AM</t>
  </si>
  <si>
    <t>11:30AM</t>
  </si>
  <si>
    <t>10:00AM</t>
  </si>
  <si>
    <t>10:40AM</t>
  </si>
  <si>
    <t>11:00AM</t>
  </si>
  <si>
    <t>slope 1</t>
  </si>
  <si>
    <t xml:space="preserve">slope 2 </t>
  </si>
  <si>
    <t>slope 3</t>
  </si>
  <si>
    <t>Glucose, sample 1 (g/L)</t>
  </si>
  <si>
    <t>Glucose, sample 2 (g/L)</t>
  </si>
  <si>
    <t>Glucose, sample 3 (g/L)</t>
  </si>
  <si>
    <t>Glucose, bioreactor 1 (mg/L)</t>
  </si>
  <si>
    <t>Glucose, bioreactor 2 (mg/L)</t>
  </si>
  <si>
    <t>Glucose, bioreactor 3 (mg/L)</t>
  </si>
  <si>
    <t>Average (mg/L)</t>
  </si>
  <si>
    <t>Std Dev</t>
  </si>
  <si>
    <t>Productivity  (g/L*day)</t>
  </si>
  <si>
    <t>Productivity  (mg/L*day)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</si>
</sst>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0" borderId="0" xfId="0" applyFont="1"/>
    <xf numFmtId="18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EA08-690E-8148-9541-AE2A62AAEE25}">
  <dimension ref="A1:N15"/>
  <sheetViews>
    <sheetView zoomScale="114" workbookViewId="0">
      <selection activeCell="G11" sqref="G11"/>
    </sheetView>
  </sheetViews>
  <sheetFormatPr defaultColWidth="11" defaultRowHeight="15.75" x14ac:dyDescent="0.25"/>
  <cols>
    <col min="2" max="2" width="13.125" bestFit="1" customWidth="1"/>
    <col min="3" max="3" width="33.875" bestFit="1" customWidth="1"/>
    <col min="4" max="4" width="16.5" bestFit="1" customWidth="1"/>
    <col min="5" max="5" width="15.875" customWidth="1"/>
    <col min="6" max="6" width="13.625" customWidth="1"/>
    <col min="7" max="7" width="25.125" customWidth="1"/>
    <col min="8" max="9" width="20.375" bestFit="1" customWidth="1"/>
    <col min="10" max="12" width="24.5" bestFit="1" customWidth="1"/>
    <col min="13" max="13" width="18.125" customWidth="1"/>
    <col min="14" max="14" width="13.125" customWidth="1"/>
  </cols>
  <sheetData>
    <row r="1" spans="1:14" x14ac:dyDescent="0.25">
      <c r="A1" t="s">
        <v>0</v>
      </c>
      <c r="B1" t="s">
        <v>1</v>
      </c>
      <c r="C1" t="s">
        <v>20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s="2" t="s">
        <v>42</v>
      </c>
      <c r="N1" t="s">
        <v>43</v>
      </c>
    </row>
    <row r="2" spans="1:14" x14ac:dyDescent="0.25">
      <c r="A2" s="1">
        <v>45849</v>
      </c>
      <c r="B2" t="s">
        <v>21</v>
      </c>
      <c r="C2">
        <v>30</v>
      </c>
      <c r="D2">
        <v>52547.9</v>
      </c>
      <c r="E2">
        <v>34195.4</v>
      </c>
      <c r="F2">
        <v>51542.2</v>
      </c>
      <c r="G2">
        <f>(D2-$B$15)/$B$14</f>
        <v>0.34144150898337339</v>
      </c>
      <c r="H2">
        <f t="shared" ref="H2:I2" si="0">(E2-$B$15)/$B$14</f>
        <v>0.22134915376258688</v>
      </c>
      <c r="I2">
        <f t="shared" si="0"/>
        <v>0.33486055915934149</v>
      </c>
      <c r="J2">
        <f>G2*0.00015/0.00001</f>
        <v>5.1216226347506</v>
      </c>
      <c r="K2">
        <f t="shared" ref="K2:L2" si="1">H2*0.00015/0.00001</f>
        <v>3.3202373064388024</v>
      </c>
      <c r="L2">
        <f t="shared" si="1"/>
        <v>5.022908387390121</v>
      </c>
      <c r="M2" s="2">
        <f>AVERAGE(J2:L2)</f>
        <v>4.4882561095265077</v>
      </c>
      <c r="N2">
        <f>STDEV(J2:L2)</f>
        <v>1.0127374136136225</v>
      </c>
    </row>
    <row r="3" spans="1:14" x14ac:dyDescent="0.25">
      <c r="A3" s="1">
        <v>45850</v>
      </c>
      <c r="B3" t="s">
        <v>24</v>
      </c>
      <c r="C3">
        <v>30</v>
      </c>
      <c r="M3" s="2"/>
    </row>
    <row r="4" spans="1:14" x14ac:dyDescent="0.25">
      <c r="A4" s="1">
        <v>45851</v>
      </c>
      <c r="B4" t="s">
        <v>24</v>
      </c>
      <c r="C4">
        <v>30</v>
      </c>
      <c r="M4" s="2"/>
    </row>
    <row r="5" spans="1:14" x14ac:dyDescent="0.25">
      <c r="A5" s="1">
        <v>45852</v>
      </c>
      <c r="B5" t="s">
        <v>28</v>
      </c>
      <c r="C5">
        <v>30</v>
      </c>
      <c r="M5" s="2"/>
    </row>
    <row r="6" spans="1:14" x14ac:dyDescent="0.25">
      <c r="A6" s="1">
        <v>45853</v>
      </c>
      <c r="B6" t="s">
        <v>30</v>
      </c>
      <c r="C6">
        <v>30</v>
      </c>
      <c r="M6" s="2"/>
    </row>
    <row r="7" spans="1:14" x14ac:dyDescent="0.25">
      <c r="A7" s="1">
        <v>45854</v>
      </c>
      <c r="B7" t="s">
        <v>30</v>
      </c>
      <c r="C7">
        <v>30</v>
      </c>
      <c r="M7" s="2"/>
    </row>
    <row r="8" spans="1:14" x14ac:dyDescent="0.25">
      <c r="A8" s="1">
        <v>45855</v>
      </c>
      <c r="B8" t="s">
        <v>30</v>
      </c>
      <c r="C8">
        <v>30</v>
      </c>
      <c r="M8" s="2"/>
    </row>
    <row r="9" spans="1:14" x14ac:dyDescent="0.25">
      <c r="M9" s="2"/>
    </row>
    <row r="10" spans="1:14" x14ac:dyDescent="0.25">
      <c r="M10" s="2"/>
    </row>
    <row r="11" spans="1:14" x14ac:dyDescent="0.25">
      <c r="M11" s="2"/>
    </row>
    <row r="12" spans="1:14" x14ac:dyDescent="0.25">
      <c r="M12" s="2"/>
    </row>
    <row r="13" spans="1:14" x14ac:dyDescent="0.25">
      <c r="M13" s="2"/>
    </row>
    <row r="14" spans="1:14" x14ac:dyDescent="0.25">
      <c r="A14" t="s">
        <v>26</v>
      </c>
      <c r="B14">
        <v>152819.88571428575</v>
      </c>
    </row>
    <row r="15" spans="1:14" x14ac:dyDescent="0.25">
      <c r="A15" t="s">
        <v>27</v>
      </c>
      <c r="B15">
        <v>368.84761904761399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DDDE-570B-CB44-B2AF-463B4E0D4632}">
  <dimension ref="A1:O8"/>
  <sheetViews>
    <sheetView tabSelected="1" zoomScale="113" workbookViewId="0">
      <selection activeCell="I19" sqref="I19"/>
    </sheetView>
  </sheetViews>
  <sheetFormatPr defaultColWidth="11" defaultRowHeight="15.75" x14ac:dyDescent="0.25"/>
  <cols>
    <col min="2" max="2" width="8.375" customWidth="1"/>
    <col min="3" max="3" width="14.75" customWidth="1"/>
    <col min="4" max="4" width="12.625" customWidth="1"/>
    <col min="5" max="5" width="11.375" customWidth="1"/>
    <col min="6" max="6" width="12.875" customWidth="1"/>
    <col min="7" max="7" width="13.625" customWidth="1"/>
    <col min="8" max="8" width="13.375" customWidth="1"/>
    <col min="9" max="9" width="17.125" customWidth="1"/>
    <col min="10" max="10" width="13.625" customWidth="1"/>
    <col min="11" max="11" width="12.625" customWidth="1"/>
    <col min="12" max="12" width="11.25" customWidth="1"/>
    <col min="14" max="14" width="19.75" bestFit="1" customWidth="1"/>
  </cols>
  <sheetData>
    <row r="1" spans="1:15" x14ac:dyDescent="0.25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4" t="s">
        <v>16</v>
      </c>
      <c r="J1" s="4" t="s">
        <v>10</v>
      </c>
      <c r="K1" s="4" t="s">
        <v>11</v>
      </c>
      <c r="L1" s="4" t="s">
        <v>18</v>
      </c>
      <c r="M1" s="4" t="s">
        <v>17</v>
      </c>
      <c r="N1" s="4" t="s">
        <v>44</v>
      </c>
      <c r="O1" s="4" t="s">
        <v>45</v>
      </c>
    </row>
    <row r="2" spans="1:15" x14ac:dyDescent="0.25">
      <c r="A2" s="1">
        <v>45849</v>
      </c>
      <c r="B2" s="1" t="s">
        <v>23</v>
      </c>
      <c r="C2">
        <f>AVERAGE(0.088, 0.088, 0.0875)</f>
        <v>8.7833333333333319E-2</v>
      </c>
      <c r="D2">
        <f>AVERAGE(0.0879, 0.0878, 0.0879)</f>
        <v>8.786666666666669E-2</v>
      </c>
      <c r="E2">
        <f>AVERAGE(0.0882, 0.0883, 0.0884 )</f>
        <v>8.8300000000000003E-2</v>
      </c>
      <c r="F2">
        <f>AVERAGE(0.0891, 0.0887, 0.0889)</f>
        <v>8.8900000000000021E-2</v>
      </c>
      <c r="G2">
        <f>AVERAGE(0.0893, 0.0891, 0.0891)</f>
        <v>8.9166666666666672E-2</v>
      </c>
      <c r="H2">
        <f>AVERAGE(0.0894, 0.0894, 0.0869)</f>
        <v>8.8566666666666669E-2</v>
      </c>
      <c r="I2" s="4">
        <f t="shared" ref="I2:K3" si="0">(F2-C2)/0.01</f>
        <v>0.10666666666667018</v>
      </c>
      <c r="J2" s="4">
        <f t="shared" si="0"/>
        <v>0.12999999999999817</v>
      </c>
      <c r="K2" s="4">
        <f t="shared" si="0"/>
        <v>2.6666666666666505E-2</v>
      </c>
      <c r="L2" s="4">
        <f>AVERAGE(I2:K2)</f>
        <v>8.7777777777778287E-2</v>
      </c>
      <c r="M2" s="4">
        <f>STDEV(I2:K2)</f>
        <v>5.4194437325587548E-2</v>
      </c>
    </row>
    <row r="3" spans="1:15" x14ac:dyDescent="0.25">
      <c r="A3" s="1">
        <v>45850</v>
      </c>
      <c r="B3" t="s">
        <v>25</v>
      </c>
      <c r="C3">
        <f>AVERAGE(0.0877, 0.0875, 0.0874)</f>
        <v>8.7533333333333338E-2</v>
      </c>
      <c r="D3">
        <f>AVERAGE(0.0868, 0.087, 0.0868)</f>
        <v>8.6866666666666661E-2</v>
      </c>
      <c r="E3">
        <f>AVERAGE(0.0867, 0.0868, 0.0863)</f>
        <v>8.6599999999999996E-2</v>
      </c>
      <c r="F3">
        <f>AVERAGE(0.0889, 0.089, 0.0893)</f>
        <v>8.9066666666666669E-2</v>
      </c>
      <c r="G3">
        <f>AVERAGE(0.0885, 0.0887, 0.0886)</f>
        <v>8.8599999999999998E-2</v>
      </c>
      <c r="H3">
        <f>AVERAGE(0.0887, 0.0888, 0.0885 )</f>
        <v>8.8666666666666671E-2</v>
      </c>
      <c r="I3" s="4">
        <f t="shared" si="0"/>
        <v>0.1533333333333331</v>
      </c>
      <c r="J3" s="4">
        <f t="shared" si="0"/>
        <v>0.17333333333333367</v>
      </c>
      <c r="K3" s="4">
        <f t="shared" si="0"/>
        <v>0.2066666666666675</v>
      </c>
      <c r="L3" s="4">
        <f>AVERAGE(I3:K3)</f>
        <v>0.17777777777777812</v>
      </c>
      <c r="M3" s="4">
        <f>STDEV(I3:K3)</f>
        <v>2.6943012562182841E-2</v>
      </c>
      <c r="N3">
        <f>(L3-L2)</f>
        <v>8.999999999999983E-2</v>
      </c>
      <c r="O3">
        <f>N3*1000</f>
        <v>89.999999999999829</v>
      </c>
    </row>
    <row r="4" spans="1:15" x14ac:dyDescent="0.25">
      <c r="A4" s="1">
        <v>45851</v>
      </c>
      <c r="B4" t="s">
        <v>24</v>
      </c>
      <c r="C4">
        <f>AVERAGE(0.0878, 0.088, 0.0878 )</f>
        <v>8.7866666666666662E-2</v>
      </c>
      <c r="D4">
        <f>AVERAGE(0.0912, 0.0909, 0.09109 )</f>
        <v>9.1063333333333329E-2</v>
      </c>
      <c r="E4">
        <f>AVERAGE(0.0909, 0.0908, 0.091)</f>
        <v>9.0899999999999995E-2</v>
      </c>
      <c r="F4">
        <f>AVERAGE(0.0903, 0.0904, 0.0902)</f>
        <v>9.0300000000000005E-2</v>
      </c>
      <c r="G4">
        <f>AVERAGE(0.0936, 0.0937, 0.0937)</f>
        <v>9.3666666666666676E-2</v>
      </c>
      <c r="H4">
        <f>AVERAGE(0.0939, 0.0938, 0.0939)</f>
        <v>9.3866666666666654E-2</v>
      </c>
      <c r="I4" s="4">
        <f t="shared" ref="I4:I8" si="1">(F4-C4)/0.01</f>
        <v>0.24333333333333429</v>
      </c>
      <c r="J4" s="4">
        <f t="shared" ref="J4:J8" si="2">(G4-D4)/0.01</f>
        <v>0.26033333333333464</v>
      </c>
      <c r="K4" s="4">
        <f t="shared" ref="K4:K8" si="3">(H4-E4)/0.01</f>
        <v>0.29666666666666591</v>
      </c>
      <c r="L4" s="4">
        <f t="shared" ref="L4:L8" si="4">AVERAGE(I4:K4)</f>
        <v>0.26677777777777828</v>
      </c>
      <c r="M4" s="4">
        <f t="shared" ref="M4:M8" si="5">STDEV(I4:K4)</f>
        <v>2.7244435381545456E-2</v>
      </c>
      <c r="N4">
        <f t="shared" ref="N4:N8" si="6">(L4-L3)</f>
        <v>8.9000000000000162E-2</v>
      </c>
      <c r="O4">
        <f t="shared" ref="O4:O8" si="7">N4*1000</f>
        <v>89.000000000000156</v>
      </c>
    </row>
    <row r="5" spans="1:15" x14ac:dyDescent="0.25">
      <c r="A5" s="1">
        <v>45852</v>
      </c>
      <c r="B5" s="3">
        <v>0.66666666666666663</v>
      </c>
      <c r="C5">
        <f>AVERAGE(0.0882, 0.0884, 0.0884)</f>
        <v>8.8333333333333333E-2</v>
      </c>
      <c r="D5">
        <f>AVERAGE(0.0871, 0.0874, 0.0872)</f>
        <v>8.7233333333333329E-2</v>
      </c>
      <c r="E5">
        <f>AVERAGE(0.0867, 0.0867, 0.087)</f>
        <v>8.6799999999999988E-2</v>
      </c>
      <c r="F5">
        <f>AVERAGE(0.0912, 0.0914, 0.0916)</f>
        <v>9.1399999999999995E-2</v>
      </c>
      <c r="G5">
        <f>AVERAGE(0.0904, 0.0901, 0.0904)</f>
        <v>9.0299999999999991E-2</v>
      </c>
      <c r="H5">
        <f>AVERAGE(0.0902, 0.0895, 0.0898)</f>
        <v>8.9833333333333334E-2</v>
      </c>
      <c r="I5" s="4">
        <f t="shared" si="1"/>
        <v>0.3066666666666662</v>
      </c>
      <c r="J5" s="4">
        <f t="shared" si="2"/>
        <v>0.3066666666666662</v>
      </c>
      <c r="K5" s="4">
        <f t="shared" si="3"/>
        <v>0.30333333333333462</v>
      </c>
      <c r="L5" s="4">
        <f t="shared" si="4"/>
        <v>0.30555555555555564</v>
      </c>
      <c r="M5" s="4">
        <f t="shared" si="5"/>
        <v>1.9245008972977394E-3</v>
      </c>
      <c r="N5">
        <f t="shared" si="6"/>
        <v>3.8777777777777356E-2</v>
      </c>
      <c r="O5">
        <f t="shared" si="7"/>
        <v>38.777777777777359</v>
      </c>
    </row>
    <row r="6" spans="1:15" x14ac:dyDescent="0.25">
      <c r="A6" s="1">
        <v>45853</v>
      </c>
      <c r="B6" t="s">
        <v>28</v>
      </c>
      <c r="C6">
        <f>AVERAGE(0.0864, 0.0862, 0.08866)</f>
        <v>8.7086666666666659E-2</v>
      </c>
      <c r="D6">
        <f>AVERAGE(0.0869, 0.0872, 0.087  )</f>
        <v>8.7033333333333338E-2</v>
      </c>
      <c r="E6">
        <f>AVERAGE(0.0867, 0.0869, 0.087)</f>
        <v>8.6866666666666661E-2</v>
      </c>
      <c r="F6">
        <f>AVERAGE(0.09, 0.0897, 0.0899)</f>
        <v>8.9866666666666664E-2</v>
      </c>
      <c r="G6">
        <f>AVERAGE(0.0904, 0.0903, 0.0903 )</f>
        <v>9.0333333333333335E-2</v>
      </c>
      <c r="H6">
        <f>AVERAGE(0.0907, 0.0907, 0.0904)</f>
        <v>9.06E-2</v>
      </c>
      <c r="I6" s="4">
        <f t="shared" si="1"/>
        <v>0.27800000000000047</v>
      </c>
      <c r="J6" s="4">
        <f t="shared" si="2"/>
        <v>0.32999999999999974</v>
      </c>
      <c r="K6" s="4">
        <f t="shared" si="3"/>
        <v>0.37333333333333385</v>
      </c>
      <c r="L6" s="4">
        <f t="shared" si="4"/>
        <v>0.32711111111111135</v>
      </c>
      <c r="M6" s="4">
        <f t="shared" si="5"/>
        <v>4.7732278076479596E-2</v>
      </c>
      <c r="N6">
        <f t="shared" si="6"/>
        <v>2.1555555555555717E-2</v>
      </c>
      <c r="O6">
        <f t="shared" si="7"/>
        <v>21.555555555555717</v>
      </c>
    </row>
    <row r="7" spans="1:15" x14ac:dyDescent="0.25">
      <c r="A7" s="1">
        <v>45854</v>
      </c>
      <c r="B7" t="s">
        <v>28</v>
      </c>
      <c r="C7">
        <f>AVERAGE(0.0923, 0.0921, 0.092)</f>
        <v>9.2133333333333331E-2</v>
      </c>
      <c r="D7">
        <f>AVERAGE(0.0922, 0.0919, 0.0919)</f>
        <v>9.1999999999999985E-2</v>
      </c>
      <c r="E7">
        <f>AVERAGE(0.0917, 0.0919, 0.0918)</f>
        <v>9.1799999999999993E-2</v>
      </c>
      <c r="F7">
        <f>AVERAGE(0.0947, 0.0948, 0.0952)</f>
        <v>9.4899999999999998E-2</v>
      </c>
      <c r="G7">
        <f>AVERAGE(0.0953, 0.0952, 0.0952)</f>
        <v>9.5233333333333337E-2</v>
      </c>
      <c r="H7">
        <f>AVERAGE(0.0951, 0.0953, 0.0953)</f>
        <v>9.5233333333333337E-2</v>
      </c>
      <c r="I7" s="4">
        <f t="shared" si="1"/>
        <v>0.27666666666666673</v>
      </c>
      <c r="J7" s="4">
        <f t="shared" si="2"/>
        <v>0.32333333333333519</v>
      </c>
      <c r="K7" s="4">
        <f t="shared" si="3"/>
        <v>0.34333333333333438</v>
      </c>
      <c r="L7" s="4">
        <f t="shared" si="4"/>
        <v>0.31444444444444541</v>
      </c>
      <c r="M7" s="4">
        <f t="shared" si="5"/>
        <v>3.4210676262979876E-2</v>
      </c>
      <c r="N7">
        <f t="shared" si="6"/>
        <v>-1.2666666666665938E-2</v>
      </c>
      <c r="O7">
        <f t="shared" si="7"/>
        <v>-12.666666666665938</v>
      </c>
    </row>
    <row r="8" spans="1:15" x14ac:dyDescent="0.25">
      <c r="A8" s="1">
        <v>45855</v>
      </c>
      <c r="B8" t="s">
        <v>32</v>
      </c>
      <c r="C8">
        <f>AVERAGE(0.0905, 0.091, 0.0908 )</f>
        <v>9.0766666666666662E-2</v>
      </c>
      <c r="D8">
        <f>AVERAGE(0.0867, 0.0868, 0.0861 )</f>
        <v>8.6533333333333337E-2</v>
      </c>
      <c r="E8">
        <f>AVERAGE(0.086, 0.0856, 0.0861)</f>
        <v>8.589999999999999E-2</v>
      </c>
      <c r="F8">
        <f>AVERAGE(0.0929, 0.0932, 0.0933)</f>
        <v>9.3133333333333332E-2</v>
      </c>
      <c r="G8">
        <f>AVERAGE(0.0895, 0.0892, 0.0892)</f>
        <v>8.9300000000000004E-2</v>
      </c>
      <c r="H8">
        <f>AVERAGE(0.0885, 0.0889, 0.0887)</f>
        <v>8.8700000000000001E-2</v>
      </c>
      <c r="I8" s="4">
        <f t="shared" si="1"/>
        <v>0.23666666666666697</v>
      </c>
      <c r="J8" s="4">
        <f t="shared" si="2"/>
        <v>0.27666666666666673</v>
      </c>
      <c r="K8" s="4">
        <f t="shared" si="3"/>
        <v>0.28000000000000108</v>
      </c>
      <c r="L8" s="4">
        <f t="shared" si="4"/>
        <v>0.26444444444444493</v>
      </c>
      <c r="M8" s="4">
        <f t="shared" si="5"/>
        <v>2.4113927126900973E-2</v>
      </c>
      <c r="N8">
        <f t="shared" si="6"/>
        <v>-5.0000000000000488E-2</v>
      </c>
      <c r="O8">
        <f t="shared" si="7"/>
        <v>-50.00000000000049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1272-7B40-6D44-B5F0-8D2ED0A4DA10}">
  <dimension ref="A1:H8"/>
  <sheetViews>
    <sheetView zoomScale="150" workbookViewId="0">
      <selection activeCell="C16" sqref="C16"/>
    </sheetView>
  </sheetViews>
  <sheetFormatPr defaultColWidth="11" defaultRowHeight="15.75" x14ac:dyDescent="0.25"/>
  <cols>
    <col min="3" max="5" width="13.625" bestFit="1" customWidth="1"/>
  </cols>
  <sheetData>
    <row r="1" spans="1:8" x14ac:dyDescent="0.25">
      <c r="A1" t="s">
        <v>3</v>
      </c>
      <c r="B1" t="s">
        <v>2</v>
      </c>
      <c r="C1" t="s">
        <v>12</v>
      </c>
      <c r="D1" t="s">
        <v>13</v>
      </c>
      <c r="E1" t="s">
        <v>14</v>
      </c>
      <c r="F1" t="s">
        <v>19</v>
      </c>
      <c r="G1" t="s">
        <v>17</v>
      </c>
      <c r="H1" s="2" t="s">
        <v>15</v>
      </c>
    </row>
    <row r="2" spans="1:8" x14ac:dyDescent="0.25">
      <c r="A2" s="1">
        <v>45849</v>
      </c>
      <c r="B2" t="s">
        <v>22</v>
      </c>
      <c r="C2">
        <v>0.14399999999999999</v>
      </c>
      <c r="D2">
        <v>0.128</v>
      </c>
      <c r="E2">
        <v>0.106</v>
      </c>
      <c r="F2">
        <f t="shared" ref="F2:F8" si="0">AVERAGE(C2:E2)</f>
        <v>0.126</v>
      </c>
      <c r="G2">
        <f t="shared" ref="G2:G8" si="1">STDEV(C2:E2)</f>
        <v>1.9078784028338815E-2</v>
      </c>
    </row>
    <row r="3" spans="1:8" x14ac:dyDescent="0.25">
      <c r="A3" s="1">
        <v>45850</v>
      </c>
      <c r="B3" t="s">
        <v>24</v>
      </c>
      <c r="C3">
        <v>0.23200000000000001</v>
      </c>
      <c r="D3">
        <v>0.151</v>
      </c>
      <c r="E3">
        <v>0.17</v>
      </c>
      <c r="F3">
        <f t="shared" si="0"/>
        <v>0.18433333333333335</v>
      </c>
      <c r="G3">
        <f t="shared" si="1"/>
        <v>4.23595719210349E-2</v>
      </c>
    </row>
    <row r="4" spans="1:8" x14ac:dyDescent="0.25">
      <c r="A4" s="1">
        <v>45851</v>
      </c>
      <c r="B4" t="s">
        <v>24</v>
      </c>
      <c r="C4">
        <v>0.28799999999999998</v>
      </c>
      <c r="D4">
        <v>0.23599999999999999</v>
      </c>
      <c r="E4">
        <v>0.23499999999999999</v>
      </c>
      <c r="F4">
        <f t="shared" si="0"/>
        <v>0.253</v>
      </c>
      <c r="G4">
        <f t="shared" si="1"/>
        <v>3.031501278244823E-2</v>
      </c>
    </row>
    <row r="5" spans="1:8" x14ac:dyDescent="0.25">
      <c r="A5" s="1">
        <v>45852</v>
      </c>
      <c r="B5" t="s">
        <v>29</v>
      </c>
      <c r="C5">
        <v>0.24399999999999999</v>
      </c>
      <c r="D5">
        <v>0.253</v>
      </c>
      <c r="E5">
        <v>0.25900000000000001</v>
      </c>
      <c r="F5">
        <f t="shared" si="0"/>
        <v>0.252</v>
      </c>
      <c r="G5">
        <f t="shared" si="1"/>
        <v>7.5498344352707561E-3</v>
      </c>
    </row>
    <row r="6" spans="1:8" x14ac:dyDescent="0.25">
      <c r="A6" s="1">
        <v>45853</v>
      </c>
      <c r="B6" t="s">
        <v>30</v>
      </c>
      <c r="C6">
        <v>0.58799999999999997</v>
      </c>
      <c r="D6">
        <v>0.36299999999999999</v>
      </c>
      <c r="E6">
        <v>0.25800000000000001</v>
      </c>
      <c r="F6">
        <f t="shared" si="0"/>
        <v>0.40300000000000002</v>
      </c>
      <c r="G6">
        <f t="shared" si="1"/>
        <v>0.16859715300087341</v>
      </c>
    </row>
    <row r="7" spans="1:8" x14ac:dyDescent="0.25">
      <c r="A7" s="1">
        <v>45854</v>
      </c>
      <c r="B7" t="s">
        <v>30</v>
      </c>
      <c r="C7">
        <v>0.33400000000000002</v>
      </c>
      <c r="D7">
        <v>0.377</v>
      </c>
      <c r="E7">
        <v>0.28799999999999998</v>
      </c>
      <c r="F7">
        <f t="shared" si="0"/>
        <v>0.33300000000000002</v>
      </c>
      <c r="G7">
        <f t="shared" si="1"/>
        <v>4.4508426168535578E-2</v>
      </c>
    </row>
    <row r="8" spans="1:8" x14ac:dyDescent="0.25">
      <c r="A8" s="1">
        <v>45855</v>
      </c>
      <c r="B8" t="s">
        <v>31</v>
      </c>
      <c r="C8">
        <v>0.45500000000000002</v>
      </c>
      <c r="D8">
        <v>0.36299999999999999</v>
      </c>
      <c r="E8">
        <v>0.37</v>
      </c>
      <c r="F8">
        <f t="shared" si="0"/>
        <v>0.39600000000000007</v>
      </c>
      <c r="G8">
        <f t="shared" si="1"/>
        <v>5.1215232109207108E-2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Glucose</vt:lpstr>
      <vt:lpstr>dry biomass</vt:lpstr>
      <vt:lpstr>spectrophotometer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El Essawi</dc:creator>
  <cp:lastModifiedBy>Ingie Baho</cp:lastModifiedBy>
  <dcterms:created xsi:type="dcterms:W3CDTF">2025-07-08T18:58:57Z</dcterms:created>
  <dcterms:modified xsi:type="dcterms:W3CDTF">2025-07-18T21:30:30Z</dcterms:modified>
</cp:coreProperties>
</file>