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hu-my.sharepoint.com/personal/yizhi_liang_hsph_harvard_edu/Documents/OB/hsph/A-Course Materials/A01-Fall22/Fall2/EPI202-Epidemiologic Methods 2_Elements of Epidemiologic Research/code/"/>
    </mc:Choice>
  </mc:AlternateContent>
  <xr:revisionPtr revIDLastSave="217" documentId="13_ncr:1_{4622F86E-86A0-4F2D-B3B1-6F9761580DD2}" xr6:coauthVersionLast="47" xr6:coauthVersionMax="47" xr10:uidLastSave="{EC1772A9-04F9-904D-A6A5-9581DCD933D3}"/>
  <bookViews>
    <workbookView xWindow="21100" yWindow="2280" windowWidth="14400" windowHeight="17500" firstSheet="2" activeTab="2" xr2:uid="{00000000-000D-0000-FFFF-FFFF00000000}"/>
  </bookViews>
  <sheets>
    <sheet name="Menu" sheetId="6" r:id="rId1"/>
    <sheet name="Roadmap" sheetId="7" r:id="rId2"/>
    <sheet name="Cumulative Incidence Data" sheetId="3" r:id="rId3"/>
    <sheet name="Rate Data" sheetId="1" r:id="rId4"/>
    <sheet name="Case-Control Data" sheetId="4" r:id="rId5"/>
    <sheet name="Matched Case-Control Data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AH18" i="1"/>
  <c r="AJ18" i="1"/>
  <c r="R8" i="1"/>
  <c r="AH10" i="1"/>
  <c r="AJ10" i="1"/>
  <c r="F12" i="1"/>
  <c r="AH11" i="1"/>
  <c r="AJ11" i="1"/>
  <c r="J12" i="1"/>
  <c r="AH12" i="1"/>
  <c r="AJ12" i="1"/>
  <c r="N12" i="1"/>
  <c r="AH13" i="1"/>
  <c r="AJ13" i="1"/>
  <c r="R12" i="1"/>
  <c r="AH14" i="1"/>
  <c r="AJ14" i="1"/>
  <c r="F16" i="1"/>
  <c r="AH15" i="1"/>
  <c r="AJ15" i="1"/>
  <c r="J16" i="1"/>
  <c r="AH16" i="1"/>
  <c r="AJ16" i="1"/>
  <c r="N16" i="1"/>
  <c r="AH17" i="1"/>
  <c r="AJ17" i="1"/>
  <c r="F8" i="1"/>
  <c r="AH7" i="1"/>
  <c r="U7" i="1"/>
  <c r="AI7" i="1"/>
  <c r="AJ7" i="1"/>
  <c r="AI18" i="1"/>
  <c r="AI17" i="1"/>
  <c r="AI16" i="1"/>
  <c r="AI15" i="1"/>
  <c r="AI14" i="1"/>
  <c r="AI13" i="1"/>
  <c r="AI12" i="1"/>
  <c r="AI11" i="1"/>
  <c r="AF11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N8" i="1"/>
  <c r="AI9" i="1"/>
  <c r="AG9" i="1"/>
  <c r="AH9" i="1"/>
  <c r="U9" i="1"/>
  <c r="AJ9" i="1"/>
  <c r="AG16" i="3"/>
  <c r="AG12" i="3"/>
  <c r="J9" i="3"/>
  <c r="AG8" i="3" s="1"/>
  <c r="AI8" i="3" s="1"/>
  <c r="D8" i="3"/>
  <c r="F9" i="3"/>
  <c r="AG7" i="3" s="1"/>
  <c r="E8" i="3"/>
  <c r="H8" i="3"/>
  <c r="AF8" i="3" s="1"/>
  <c r="I8" i="3"/>
  <c r="L8" i="3"/>
  <c r="M8" i="3"/>
  <c r="N9" i="3"/>
  <c r="AF9" i="3"/>
  <c r="P8" i="3"/>
  <c r="Q8" i="3"/>
  <c r="R9" i="3"/>
  <c r="AF10" i="3"/>
  <c r="D13" i="3"/>
  <c r="F14" i="3"/>
  <c r="AF11" i="3"/>
  <c r="H13" i="3"/>
  <c r="I13" i="3"/>
  <c r="J14" i="3"/>
  <c r="AF12" i="3"/>
  <c r="N14" i="3"/>
  <c r="L13" i="3"/>
  <c r="AF13" i="3"/>
  <c r="P13" i="3"/>
  <c r="R14" i="3"/>
  <c r="AF14" i="3"/>
  <c r="Q18" i="3"/>
  <c r="R19" i="3"/>
  <c r="AF18" i="3"/>
  <c r="M18" i="3"/>
  <c r="L18" i="3"/>
  <c r="N19" i="3"/>
  <c r="AF17" i="3"/>
  <c r="J19" i="3"/>
  <c r="H18" i="3"/>
  <c r="AF16" i="3"/>
  <c r="D18" i="3"/>
  <c r="E18" i="3"/>
  <c r="F19" i="3"/>
  <c r="AF15" i="3"/>
  <c r="AG9" i="3"/>
  <c r="AG11" i="3"/>
  <c r="AG13" i="3"/>
  <c r="AG14" i="3"/>
  <c r="AG18" i="3"/>
  <c r="AG17" i="3"/>
  <c r="AG15" i="3"/>
  <c r="AG10" i="3"/>
  <c r="AI11" i="3"/>
  <c r="AI18" i="3"/>
  <c r="AI17" i="3"/>
  <c r="AI16" i="3"/>
  <c r="AI15" i="3"/>
  <c r="AI14" i="3"/>
  <c r="AI13" i="3"/>
  <c r="AI12" i="3"/>
  <c r="N18" i="3"/>
  <c r="I18" i="3"/>
  <c r="J18" i="3"/>
  <c r="U7" i="3"/>
  <c r="F7" i="3"/>
  <c r="J7" i="3"/>
  <c r="N7" i="3"/>
  <c r="R7" i="3"/>
  <c r="N8" i="3"/>
  <c r="R8" i="3"/>
  <c r="AF7" i="1"/>
  <c r="J8" i="1"/>
  <c r="AF8" i="1"/>
  <c r="AF9" i="1"/>
  <c r="AF10" i="1"/>
  <c r="AF20" i="1"/>
  <c r="AG7" i="1"/>
  <c r="AI8" i="1"/>
  <c r="AG8" i="1"/>
  <c r="AI10" i="1"/>
  <c r="AG10" i="1"/>
  <c r="AG20" i="1"/>
  <c r="V29" i="1"/>
  <c r="AI9" i="3"/>
  <c r="AI10" i="3"/>
  <c r="P18" i="3"/>
  <c r="AH18" i="3"/>
  <c r="AH17" i="3"/>
  <c r="AH16" i="3"/>
  <c r="AH15" i="3"/>
  <c r="E13" i="3"/>
  <c r="AH11" i="3"/>
  <c r="AH12" i="3"/>
  <c r="M13" i="3"/>
  <c r="AH13" i="3"/>
  <c r="Q13" i="3"/>
  <c r="AH14" i="3"/>
  <c r="U8" i="3"/>
  <c r="AA8" i="3" s="1"/>
  <c r="AH9" i="3"/>
  <c r="U9" i="3"/>
  <c r="AJ9" i="3"/>
  <c r="AH10" i="3"/>
  <c r="U10" i="3"/>
  <c r="AJ10" i="3"/>
  <c r="U18" i="3"/>
  <c r="AJ18" i="3"/>
  <c r="U17" i="3"/>
  <c r="AJ17" i="3"/>
  <c r="U16" i="3"/>
  <c r="AJ16" i="3"/>
  <c r="U15" i="3"/>
  <c r="AJ15" i="3"/>
  <c r="U11" i="3"/>
  <c r="AJ11" i="3"/>
  <c r="U12" i="3"/>
  <c r="AJ12" i="3"/>
  <c r="U13" i="3"/>
  <c r="AJ13" i="3"/>
  <c r="U14" i="3"/>
  <c r="AJ14" i="3"/>
  <c r="J7" i="1"/>
  <c r="X8" i="1"/>
  <c r="H9" i="4"/>
  <c r="I9" i="4"/>
  <c r="J9" i="4"/>
  <c r="J7" i="4"/>
  <c r="J8" i="4"/>
  <c r="X8" i="4"/>
  <c r="D9" i="4"/>
  <c r="E9" i="4"/>
  <c r="F9" i="4"/>
  <c r="F7" i="4"/>
  <c r="F8" i="4"/>
  <c r="X7" i="4"/>
  <c r="L9" i="4"/>
  <c r="M9" i="4"/>
  <c r="N9" i="4"/>
  <c r="X9" i="4"/>
  <c r="P9" i="4"/>
  <c r="Q9" i="4"/>
  <c r="R9" i="4"/>
  <c r="X10" i="4"/>
  <c r="D13" i="4"/>
  <c r="E13" i="4"/>
  <c r="F13" i="4"/>
  <c r="X11" i="4"/>
  <c r="H13" i="4"/>
  <c r="I13" i="4"/>
  <c r="J13" i="4"/>
  <c r="X12" i="4"/>
  <c r="L13" i="4"/>
  <c r="M13" i="4"/>
  <c r="N13" i="4"/>
  <c r="X13" i="4"/>
  <c r="P13" i="4"/>
  <c r="Q13" i="4"/>
  <c r="R13" i="4"/>
  <c r="X14" i="4"/>
  <c r="D17" i="4"/>
  <c r="E17" i="4"/>
  <c r="F17" i="4"/>
  <c r="X15" i="4"/>
  <c r="H17" i="4"/>
  <c r="I17" i="4"/>
  <c r="J17" i="4"/>
  <c r="X16" i="4"/>
  <c r="L17" i="4"/>
  <c r="M17" i="4"/>
  <c r="N17" i="4"/>
  <c r="X17" i="4"/>
  <c r="P17" i="4"/>
  <c r="Q17" i="4"/>
  <c r="R17" i="4"/>
  <c r="X18" i="4"/>
  <c r="X20" i="4"/>
  <c r="Z8" i="4"/>
  <c r="Z7" i="4"/>
  <c r="Z9" i="4"/>
  <c r="Z10" i="4"/>
  <c r="Z11" i="4"/>
  <c r="Z12" i="4"/>
  <c r="Z13" i="4"/>
  <c r="Z14" i="4"/>
  <c r="Z15" i="4"/>
  <c r="Z16" i="4"/>
  <c r="Z17" i="4"/>
  <c r="Z18" i="4"/>
  <c r="Z20" i="4"/>
  <c r="Y8" i="4"/>
  <c r="Y7" i="4"/>
  <c r="Y9" i="4"/>
  <c r="Y10" i="4"/>
  <c r="Y11" i="4"/>
  <c r="Y12" i="4"/>
  <c r="Y13" i="4"/>
  <c r="Y14" i="4"/>
  <c r="Y15" i="4"/>
  <c r="Y16" i="4"/>
  <c r="Y17" i="4"/>
  <c r="Y18" i="4"/>
  <c r="Y20" i="4"/>
  <c r="J22" i="4"/>
  <c r="AF7" i="4"/>
  <c r="AG7" i="4"/>
  <c r="AH7" i="4"/>
  <c r="AF8" i="4"/>
  <c r="AG8" i="4"/>
  <c r="AH8" i="4"/>
  <c r="AH9" i="4"/>
  <c r="AH10" i="4"/>
  <c r="AH11" i="4"/>
  <c r="AH12" i="4"/>
  <c r="AH13" i="4"/>
  <c r="AH14" i="4"/>
  <c r="AH15" i="4"/>
  <c r="AH16" i="4"/>
  <c r="AH17" i="4"/>
  <c r="AH18" i="4"/>
  <c r="AH20" i="4"/>
  <c r="J38" i="4"/>
  <c r="Y9" i="3"/>
  <c r="Y10" i="3"/>
  <c r="F13" i="3"/>
  <c r="F12" i="3"/>
  <c r="Y11" i="3"/>
  <c r="J13" i="3"/>
  <c r="J12" i="3"/>
  <c r="Y12" i="3"/>
  <c r="N13" i="3"/>
  <c r="N12" i="3"/>
  <c r="Y13" i="3"/>
  <c r="R13" i="3"/>
  <c r="R12" i="3"/>
  <c r="Y14" i="3"/>
  <c r="F18" i="3"/>
  <c r="F17" i="3"/>
  <c r="Y15" i="3"/>
  <c r="J17" i="3"/>
  <c r="Y16" i="3"/>
  <c r="N17" i="3"/>
  <c r="Y17" i="3"/>
  <c r="R18" i="3"/>
  <c r="R17" i="3"/>
  <c r="Y18" i="3"/>
  <c r="AA9" i="3"/>
  <c r="AA10" i="3"/>
  <c r="AA11" i="3"/>
  <c r="AA12" i="3"/>
  <c r="AA13" i="3"/>
  <c r="AA14" i="3"/>
  <c r="AA15" i="3"/>
  <c r="AA16" i="3"/>
  <c r="AA17" i="3"/>
  <c r="AA18" i="3"/>
  <c r="Z9" i="3"/>
  <c r="Z10" i="3"/>
  <c r="Z11" i="3"/>
  <c r="Z12" i="3"/>
  <c r="Z13" i="3"/>
  <c r="Z14" i="3"/>
  <c r="Z15" i="3"/>
  <c r="Z16" i="3"/>
  <c r="Z17" i="3"/>
  <c r="Z18" i="3"/>
  <c r="V9" i="3"/>
  <c r="W9" i="3"/>
  <c r="X9" i="3"/>
  <c r="AB9" i="3"/>
  <c r="AC9" i="3"/>
  <c r="AD9" i="3"/>
  <c r="AE9" i="3"/>
  <c r="AK9" i="3"/>
  <c r="L10" i="3"/>
  <c r="M10" i="3"/>
  <c r="V10" i="3"/>
  <c r="P10" i="3"/>
  <c r="Q10" i="3"/>
  <c r="W10" i="3"/>
  <c r="X10" i="3"/>
  <c r="AB10" i="3"/>
  <c r="AC10" i="3"/>
  <c r="AD10" i="3"/>
  <c r="AE10" i="3"/>
  <c r="AK10" i="3"/>
  <c r="L11" i="3"/>
  <c r="M11" i="3"/>
  <c r="P11" i="3"/>
  <c r="Q11" i="3"/>
  <c r="V11" i="3"/>
  <c r="W11" i="3"/>
  <c r="X11" i="3"/>
  <c r="AB11" i="3"/>
  <c r="AC11" i="3"/>
  <c r="AD11" i="3"/>
  <c r="AE11" i="3"/>
  <c r="AK11" i="3"/>
  <c r="V12" i="3"/>
  <c r="W12" i="3"/>
  <c r="X12" i="3"/>
  <c r="AB12" i="3"/>
  <c r="AC12" i="3"/>
  <c r="AD12" i="3"/>
  <c r="AE12" i="3"/>
  <c r="AK12" i="3"/>
  <c r="V13" i="3"/>
  <c r="W13" i="3"/>
  <c r="X13" i="3"/>
  <c r="AB13" i="3"/>
  <c r="AC13" i="3"/>
  <c r="AD13" i="3"/>
  <c r="AE13" i="3"/>
  <c r="AK13" i="3"/>
  <c r="V14" i="3"/>
  <c r="W14" i="3"/>
  <c r="X14" i="3"/>
  <c r="AB14" i="3"/>
  <c r="AC14" i="3"/>
  <c r="AD14" i="3"/>
  <c r="AE14" i="3"/>
  <c r="AK14" i="3"/>
  <c r="D15" i="3"/>
  <c r="E15" i="3"/>
  <c r="H15" i="3"/>
  <c r="I15" i="3"/>
  <c r="L15" i="3"/>
  <c r="M15" i="3"/>
  <c r="P15" i="3"/>
  <c r="Q15" i="3"/>
  <c r="V15" i="3"/>
  <c r="W15" i="3"/>
  <c r="X15" i="3"/>
  <c r="AB15" i="3"/>
  <c r="AC15" i="3"/>
  <c r="AD15" i="3"/>
  <c r="AE15" i="3"/>
  <c r="AK15" i="3"/>
  <c r="D16" i="3"/>
  <c r="E16" i="3"/>
  <c r="H16" i="3"/>
  <c r="I16" i="3"/>
  <c r="L16" i="3"/>
  <c r="M16" i="3"/>
  <c r="P16" i="3"/>
  <c r="Q16" i="3"/>
  <c r="V16" i="3"/>
  <c r="W16" i="3"/>
  <c r="X16" i="3"/>
  <c r="AB16" i="3"/>
  <c r="AC16" i="3"/>
  <c r="AD16" i="3"/>
  <c r="AE16" i="3"/>
  <c r="AK16" i="3"/>
  <c r="V17" i="3"/>
  <c r="W17" i="3"/>
  <c r="X17" i="3"/>
  <c r="AB17" i="3"/>
  <c r="AC17" i="3"/>
  <c r="AD17" i="3"/>
  <c r="AE17" i="3"/>
  <c r="AK17" i="3"/>
  <c r="V18" i="3"/>
  <c r="W18" i="3"/>
  <c r="X18" i="3"/>
  <c r="AB18" i="3"/>
  <c r="AC18" i="3"/>
  <c r="AD18" i="3"/>
  <c r="AE18" i="3"/>
  <c r="AK18" i="3"/>
  <c r="AJ19" i="3"/>
  <c r="D20" i="3"/>
  <c r="E20" i="3"/>
  <c r="H20" i="3"/>
  <c r="I20" i="3"/>
  <c r="L20" i="3"/>
  <c r="M20" i="3"/>
  <c r="P20" i="3"/>
  <c r="Q20" i="3"/>
  <c r="D21" i="3"/>
  <c r="E21" i="3"/>
  <c r="H21" i="3"/>
  <c r="I21" i="3"/>
  <c r="L21" i="3"/>
  <c r="M21" i="3"/>
  <c r="P21" i="3"/>
  <c r="Q21" i="3"/>
  <c r="D25" i="3"/>
  <c r="E25" i="3"/>
  <c r="F7" i="1"/>
  <c r="N7" i="1"/>
  <c r="R7" i="1"/>
  <c r="Y7" i="1"/>
  <c r="V7" i="1"/>
  <c r="W7" i="1"/>
  <c r="X7" i="1"/>
  <c r="Z7" i="1"/>
  <c r="AA7" i="1"/>
  <c r="AB7" i="1"/>
  <c r="AC7" i="1"/>
  <c r="AD7" i="1"/>
  <c r="Y8" i="1"/>
  <c r="Y9" i="1"/>
  <c r="Y10" i="1"/>
  <c r="F11" i="1"/>
  <c r="Y11" i="1"/>
  <c r="J11" i="1"/>
  <c r="Y12" i="1"/>
  <c r="N11" i="1"/>
  <c r="Y13" i="1"/>
  <c r="R11" i="1"/>
  <c r="Y14" i="1"/>
  <c r="F15" i="1"/>
  <c r="Y15" i="1"/>
  <c r="J15" i="1"/>
  <c r="Y16" i="1"/>
  <c r="N15" i="1"/>
  <c r="Y17" i="1"/>
  <c r="R15" i="1"/>
  <c r="Y18" i="1"/>
  <c r="Z8" i="1"/>
  <c r="Z9" i="1"/>
  <c r="Z10" i="1"/>
  <c r="Z11" i="1"/>
  <c r="Z12" i="1"/>
  <c r="Z13" i="1"/>
  <c r="Z14" i="1"/>
  <c r="Z15" i="1"/>
  <c r="Z16" i="1"/>
  <c r="Z17" i="1"/>
  <c r="Z18" i="1"/>
  <c r="Z20" i="1"/>
  <c r="AA8" i="1"/>
  <c r="AA9" i="1"/>
  <c r="AA10" i="1"/>
  <c r="AA11" i="1"/>
  <c r="AA12" i="1"/>
  <c r="AA13" i="1"/>
  <c r="AA14" i="1"/>
  <c r="AA15" i="1"/>
  <c r="AA16" i="1"/>
  <c r="AA17" i="1"/>
  <c r="AA18" i="1"/>
  <c r="AA20" i="1"/>
  <c r="J22" i="1"/>
  <c r="AE7" i="1"/>
  <c r="AH8" i="1"/>
  <c r="AI20" i="1"/>
  <c r="U8" i="1"/>
  <c r="AJ8" i="1"/>
  <c r="U10" i="1"/>
  <c r="U11" i="1"/>
  <c r="U12" i="1"/>
  <c r="U13" i="1"/>
  <c r="U14" i="1"/>
  <c r="U15" i="1"/>
  <c r="U16" i="1"/>
  <c r="U17" i="1"/>
  <c r="U18" i="1"/>
  <c r="AJ20" i="1"/>
  <c r="J31" i="1"/>
  <c r="AK7" i="1"/>
  <c r="V8" i="1"/>
  <c r="W8" i="1"/>
  <c r="AB8" i="1"/>
  <c r="AC8" i="1"/>
  <c r="AD8" i="1"/>
  <c r="AE8" i="1"/>
  <c r="AK8" i="1"/>
  <c r="D9" i="1"/>
  <c r="E9" i="1"/>
  <c r="H9" i="1"/>
  <c r="I9" i="1"/>
  <c r="V9" i="1"/>
  <c r="L9" i="1"/>
  <c r="M9" i="1"/>
  <c r="V10" i="1"/>
  <c r="P9" i="1"/>
  <c r="Q9" i="1"/>
  <c r="W9" i="1"/>
  <c r="X9" i="1"/>
  <c r="AB9" i="1"/>
  <c r="AC9" i="1"/>
  <c r="AD9" i="1"/>
  <c r="AE9" i="1"/>
  <c r="AK9" i="1"/>
  <c r="D10" i="1"/>
  <c r="E10" i="1"/>
  <c r="H10" i="1"/>
  <c r="I10" i="1"/>
  <c r="L10" i="1"/>
  <c r="M10" i="1"/>
  <c r="P10" i="1"/>
  <c r="Q10" i="1"/>
  <c r="W10" i="1"/>
  <c r="X10" i="1"/>
  <c r="AB10" i="1"/>
  <c r="AC10" i="1"/>
  <c r="AD10" i="1"/>
  <c r="AE10" i="1"/>
  <c r="AK10" i="1"/>
  <c r="V11" i="1"/>
  <c r="W11" i="1"/>
  <c r="X11" i="1"/>
  <c r="AB11" i="1"/>
  <c r="AC11" i="1"/>
  <c r="AD11" i="1"/>
  <c r="AE11" i="1"/>
  <c r="AK11" i="1"/>
  <c r="V12" i="1"/>
  <c r="W12" i="1"/>
  <c r="X12" i="1"/>
  <c r="AB12" i="1"/>
  <c r="AC12" i="1"/>
  <c r="AD12" i="1"/>
  <c r="AE12" i="1"/>
  <c r="AK12" i="1"/>
  <c r="D13" i="1"/>
  <c r="E13" i="1"/>
  <c r="H13" i="1"/>
  <c r="I13" i="1"/>
  <c r="V13" i="1"/>
  <c r="L13" i="1"/>
  <c r="M13" i="1"/>
  <c r="V14" i="1"/>
  <c r="P13" i="1"/>
  <c r="Q13" i="1"/>
  <c r="W13" i="1"/>
  <c r="X13" i="1"/>
  <c r="AB13" i="1"/>
  <c r="AC13" i="1"/>
  <c r="AD13" i="1"/>
  <c r="AE13" i="1"/>
  <c r="AK13" i="1"/>
  <c r="D14" i="1"/>
  <c r="E14" i="1"/>
  <c r="H14" i="1"/>
  <c r="I14" i="1"/>
  <c r="L14" i="1"/>
  <c r="M14" i="1"/>
  <c r="P14" i="1"/>
  <c r="Q14" i="1"/>
  <c r="W14" i="1"/>
  <c r="X14" i="1"/>
  <c r="AB14" i="1"/>
  <c r="AC14" i="1"/>
  <c r="AD14" i="1"/>
  <c r="AE14" i="1"/>
  <c r="AK14" i="1"/>
  <c r="V15" i="1"/>
  <c r="W15" i="1"/>
  <c r="X15" i="1"/>
  <c r="AB15" i="1"/>
  <c r="AC15" i="1"/>
  <c r="AD15" i="1"/>
  <c r="AE15" i="1"/>
  <c r="AK15" i="1"/>
  <c r="V16" i="1"/>
  <c r="W16" i="1"/>
  <c r="X16" i="1"/>
  <c r="AB16" i="1"/>
  <c r="AC16" i="1"/>
  <c r="AD16" i="1"/>
  <c r="AE16" i="1"/>
  <c r="AK16" i="1"/>
  <c r="D17" i="1"/>
  <c r="E17" i="1"/>
  <c r="H17" i="1"/>
  <c r="I17" i="1"/>
  <c r="V17" i="1"/>
  <c r="L17" i="1"/>
  <c r="M17" i="1"/>
  <c r="V18" i="1"/>
  <c r="P17" i="1"/>
  <c r="Q17" i="1"/>
  <c r="W17" i="1"/>
  <c r="X17" i="1"/>
  <c r="AB17" i="1"/>
  <c r="AC17" i="1"/>
  <c r="AD17" i="1"/>
  <c r="AE17" i="1"/>
  <c r="AK17" i="1"/>
  <c r="D18" i="1"/>
  <c r="E18" i="1"/>
  <c r="H18" i="1"/>
  <c r="I18" i="1"/>
  <c r="L18" i="1"/>
  <c r="M18" i="1"/>
  <c r="P18" i="1"/>
  <c r="Q18" i="1"/>
  <c r="W18" i="1"/>
  <c r="X18" i="1"/>
  <c r="AB18" i="1"/>
  <c r="AC18" i="1"/>
  <c r="AD18" i="1"/>
  <c r="AE18" i="1"/>
  <c r="AK18" i="1"/>
  <c r="W20" i="1"/>
  <c r="X20" i="1"/>
  <c r="Y20" i="1"/>
  <c r="AB20" i="1"/>
  <c r="AC20" i="1"/>
  <c r="AD20" i="1"/>
  <c r="AE20" i="1"/>
  <c r="AK20" i="1"/>
  <c r="D22" i="1"/>
  <c r="E22" i="1"/>
  <c r="F22" i="1"/>
  <c r="Y22" i="1"/>
  <c r="D23" i="1"/>
  <c r="E23" i="1"/>
  <c r="F23" i="1"/>
  <c r="Y23" i="1"/>
  <c r="K23" i="1"/>
  <c r="M23" i="1"/>
  <c r="K24" i="1"/>
  <c r="M24" i="1"/>
  <c r="K25" i="1"/>
  <c r="M25" i="1"/>
  <c r="AE25" i="1"/>
  <c r="D26" i="1"/>
  <c r="D27" i="1"/>
  <c r="E27" i="1"/>
  <c r="H27" i="1"/>
  <c r="M27" i="1"/>
  <c r="D28" i="1"/>
  <c r="E28" i="1"/>
  <c r="D29" i="1"/>
  <c r="E29" i="1"/>
  <c r="D31" i="1"/>
  <c r="C32" i="1"/>
  <c r="E32" i="1"/>
  <c r="K32" i="1"/>
  <c r="M32" i="1"/>
  <c r="C33" i="1"/>
  <c r="E33" i="1"/>
  <c r="K33" i="1"/>
  <c r="M33" i="1"/>
  <c r="C34" i="1"/>
  <c r="E34" i="1"/>
  <c r="K34" i="1"/>
  <c r="M34" i="1"/>
  <c r="H36" i="1"/>
  <c r="M36" i="1"/>
  <c r="D37" i="1"/>
  <c r="D38" i="1"/>
  <c r="D39" i="1"/>
  <c r="K40" i="1"/>
  <c r="K41" i="1"/>
  <c r="K42" i="1"/>
  <c r="J47" i="1"/>
  <c r="N47" i="1"/>
  <c r="J48" i="1"/>
  <c r="N48" i="1"/>
  <c r="J49" i="1"/>
  <c r="N49" i="1"/>
  <c r="N7" i="4"/>
  <c r="R7" i="4"/>
  <c r="U7" i="4"/>
  <c r="V7" i="4"/>
  <c r="W7" i="4"/>
  <c r="AA7" i="4"/>
  <c r="AB7" i="4"/>
  <c r="AC7" i="4"/>
  <c r="AD7" i="4"/>
  <c r="AE7" i="4"/>
  <c r="N8" i="4"/>
  <c r="R8" i="4"/>
  <c r="U8" i="4"/>
  <c r="V8" i="4"/>
  <c r="W8" i="4"/>
  <c r="AA8" i="4"/>
  <c r="AB8" i="4"/>
  <c r="AC8" i="4"/>
  <c r="AD8" i="4"/>
  <c r="AE8" i="4"/>
  <c r="U9" i="4"/>
  <c r="V9" i="4"/>
  <c r="W9" i="4"/>
  <c r="AA9" i="4"/>
  <c r="AB9" i="4"/>
  <c r="AC9" i="4"/>
  <c r="AD9" i="4"/>
  <c r="AE9" i="4"/>
  <c r="AF9" i="4"/>
  <c r="AG9" i="4"/>
  <c r="D10" i="4"/>
  <c r="E10" i="4"/>
  <c r="H10" i="4"/>
  <c r="I10" i="4"/>
  <c r="L10" i="4"/>
  <c r="M10" i="4"/>
  <c r="U10" i="4"/>
  <c r="P10" i="4"/>
  <c r="Q10" i="4"/>
  <c r="V10" i="4"/>
  <c r="W10" i="4"/>
  <c r="AA10" i="4"/>
  <c r="AB10" i="4"/>
  <c r="AC10" i="4"/>
  <c r="AD10" i="4"/>
  <c r="AE10" i="4"/>
  <c r="AF10" i="4"/>
  <c r="AG10" i="4"/>
  <c r="F11" i="4"/>
  <c r="J11" i="4"/>
  <c r="N11" i="4"/>
  <c r="R11" i="4"/>
  <c r="U11" i="4"/>
  <c r="V11" i="4"/>
  <c r="W11" i="4"/>
  <c r="AA11" i="4"/>
  <c r="AB11" i="4"/>
  <c r="AC11" i="4"/>
  <c r="AD11" i="4"/>
  <c r="AE11" i="4"/>
  <c r="AF11" i="4"/>
  <c r="AG11" i="4"/>
  <c r="F12" i="4"/>
  <c r="J12" i="4"/>
  <c r="N12" i="4"/>
  <c r="R12" i="4"/>
  <c r="U12" i="4"/>
  <c r="V12" i="4"/>
  <c r="W12" i="4"/>
  <c r="AA12" i="4"/>
  <c r="AB12" i="4"/>
  <c r="AC12" i="4"/>
  <c r="AD12" i="4"/>
  <c r="AE12" i="4"/>
  <c r="AF12" i="4"/>
  <c r="AG12" i="4"/>
  <c r="U13" i="4"/>
  <c r="V13" i="4"/>
  <c r="W13" i="4"/>
  <c r="AA13" i="4"/>
  <c r="AB13" i="4"/>
  <c r="AC13" i="4"/>
  <c r="AD13" i="4"/>
  <c r="AE13" i="4"/>
  <c r="AF13" i="4"/>
  <c r="AG13" i="4"/>
  <c r="D14" i="4"/>
  <c r="E14" i="4"/>
  <c r="H14" i="4"/>
  <c r="I14" i="4"/>
  <c r="L14" i="4"/>
  <c r="M14" i="4"/>
  <c r="U14" i="4"/>
  <c r="P14" i="4"/>
  <c r="Q14" i="4"/>
  <c r="V14" i="4"/>
  <c r="W14" i="4"/>
  <c r="AA14" i="4"/>
  <c r="AB14" i="4"/>
  <c r="AC14" i="4"/>
  <c r="AD14" i="4"/>
  <c r="AE14" i="4"/>
  <c r="AF14" i="4"/>
  <c r="AG14" i="4"/>
  <c r="F15" i="4"/>
  <c r="J15" i="4"/>
  <c r="N15" i="4"/>
  <c r="R15" i="4"/>
  <c r="U15" i="4"/>
  <c r="V15" i="4"/>
  <c r="W15" i="4"/>
  <c r="AA15" i="4"/>
  <c r="AB15" i="4"/>
  <c r="AC15" i="4"/>
  <c r="AD15" i="4"/>
  <c r="AE15" i="4"/>
  <c r="AF15" i="4"/>
  <c r="AG15" i="4"/>
  <c r="F16" i="4"/>
  <c r="J16" i="4"/>
  <c r="N16" i="4"/>
  <c r="R16" i="4"/>
  <c r="U16" i="4"/>
  <c r="V16" i="4"/>
  <c r="W16" i="4"/>
  <c r="AA16" i="4"/>
  <c r="AB16" i="4"/>
  <c r="AC16" i="4"/>
  <c r="AD16" i="4"/>
  <c r="AE16" i="4"/>
  <c r="AF16" i="4"/>
  <c r="AG16" i="4"/>
  <c r="U17" i="4"/>
  <c r="V17" i="4"/>
  <c r="W17" i="4"/>
  <c r="AA17" i="4"/>
  <c r="AB17" i="4"/>
  <c r="AC17" i="4"/>
  <c r="AD17" i="4"/>
  <c r="AE17" i="4"/>
  <c r="AF17" i="4"/>
  <c r="AG17" i="4"/>
  <c r="D18" i="4"/>
  <c r="E18" i="4"/>
  <c r="H18" i="4"/>
  <c r="I18" i="4"/>
  <c r="L18" i="4"/>
  <c r="M18" i="4"/>
  <c r="U18" i="4"/>
  <c r="P18" i="4"/>
  <c r="Q18" i="4"/>
  <c r="V18" i="4"/>
  <c r="W18" i="4"/>
  <c r="AA18" i="4"/>
  <c r="AB18" i="4"/>
  <c r="AC18" i="4"/>
  <c r="AD18" i="4"/>
  <c r="AE18" i="4"/>
  <c r="AF18" i="4"/>
  <c r="AG18" i="4"/>
  <c r="V20" i="4"/>
  <c r="W20" i="4"/>
  <c r="AA20" i="4"/>
  <c r="AB20" i="4"/>
  <c r="AC20" i="4"/>
  <c r="AD20" i="4"/>
  <c r="AE20" i="4"/>
  <c r="D21" i="4"/>
  <c r="E21" i="4"/>
  <c r="F21" i="4"/>
  <c r="AH21" i="4"/>
  <c r="D22" i="4"/>
  <c r="E22" i="4"/>
  <c r="F22" i="4"/>
  <c r="X22" i="4"/>
  <c r="D23" i="4"/>
  <c r="E23" i="4"/>
  <c r="F23" i="4"/>
  <c r="X23" i="4"/>
  <c r="K23" i="4"/>
  <c r="M23" i="4"/>
  <c r="K24" i="4"/>
  <c r="M24" i="4"/>
  <c r="D25" i="4"/>
  <c r="K25" i="4"/>
  <c r="M25" i="4"/>
  <c r="D26" i="4"/>
  <c r="E26" i="4"/>
  <c r="D27" i="4"/>
  <c r="E27" i="4"/>
  <c r="M27" i="4"/>
  <c r="D28" i="4"/>
  <c r="E28" i="4"/>
  <c r="D31" i="4"/>
  <c r="K31" i="4"/>
  <c r="D32" i="4"/>
  <c r="K32" i="4"/>
  <c r="D33" i="4"/>
  <c r="K33" i="4"/>
  <c r="J39" i="4"/>
  <c r="J40" i="4"/>
  <c r="T25" i="5"/>
  <c r="W25" i="5" s="1"/>
  <c r="W35" i="5" s="1"/>
  <c r="R25" i="5"/>
  <c r="R35" i="5" s="1"/>
  <c r="T26" i="5"/>
  <c r="P26" i="5"/>
  <c r="Q26" i="5"/>
  <c r="R26" i="5"/>
  <c r="S26" i="5"/>
  <c r="U26" i="5"/>
  <c r="V26" i="5"/>
  <c r="W26" i="5"/>
  <c r="T27" i="5"/>
  <c r="P27" i="5"/>
  <c r="Q27" i="5"/>
  <c r="R27" i="5"/>
  <c r="S27" i="5"/>
  <c r="U27" i="5"/>
  <c r="V27" i="5"/>
  <c r="W27" i="5"/>
  <c r="T28" i="5"/>
  <c r="P28" i="5"/>
  <c r="Q28" i="5"/>
  <c r="R28" i="5"/>
  <c r="S28" i="5"/>
  <c r="U28" i="5"/>
  <c r="V28" i="5"/>
  <c r="W28" i="5"/>
  <c r="T29" i="5"/>
  <c r="P29" i="5"/>
  <c r="Q29" i="5"/>
  <c r="R29" i="5"/>
  <c r="S29" i="5"/>
  <c r="U29" i="5"/>
  <c r="V29" i="5"/>
  <c r="W29" i="5"/>
  <c r="T30" i="5"/>
  <c r="P30" i="5"/>
  <c r="Q30" i="5"/>
  <c r="R30" i="5"/>
  <c r="S30" i="5"/>
  <c r="U30" i="5"/>
  <c r="V30" i="5"/>
  <c r="W30" i="5"/>
  <c r="T31" i="5"/>
  <c r="P31" i="5"/>
  <c r="Q31" i="5"/>
  <c r="R31" i="5"/>
  <c r="S31" i="5"/>
  <c r="U31" i="5"/>
  <c r="V31" i="5"/>
  <c r="W31" i="5"/>
  <c r="T32" i="5"/>
  <c r="P32" i="5"/>
  <c r="Q32" i="5"/>
  <c r="R32" i="5"/>
  <c r="S32" i="5"/>
  <c r="U32" i="5"/>
  <c r="V32" i="5"/>
  <c r="W32" i="5"/>
  <c r="T33" i="5"/>
  <c r="P33" i="5"/>
  <c r="Q33" i="5"/>
  <c r="R33" i="5"/>
  <c r="S33" i="5"/>
  <c r="U33" i="5"/>
  <c r="V33" i="5"/>
  <c r="W33" i="5"/>
  <c r="T34" i="5"/>
  <c r="P34" i="5"/>
  <c r="Q34" i="5"/>
  <c r="R34" i="5"/>
  <c r="S34" i="5"/>
  <c r="U34" i="5"/>
  <c r="V34" i="5"/>
  <c r="W34" i="5"/>
  <c r="T35" i="5"/>
  <c r="Z8" i="3" l="1"/>
  <c r="I11" i="3"/>
  <c r="AD8" i="3"/>
  <c r="W8" i="3"/>
  <c r="E26" i="3"/>
  <c r="E27" i="3" s="1"/>
  <c r="H11" i="3"/>
  <c r="V8" i="3"/>
  <c r="AC8" i="3"/>
  <c r="AH8" i="3"/>
  <c r="AJ8" i="3" s="1"/>
  <c r="J8" i="3"/>
  <c r="Y8" i="3" s="1"/>
  <c r="AB8" i="3" s="1"/>
  <c r="X8" i="3"/>
  <c r="F25" i="3"/>
  <c r="AI7" i="3"/>
  <c r="AI23" i="3" s="1"/>
  <c r="K44" i="3" s="1"/>
  <c r="AG23" i="3"/>
  <c r="AF7" i="3"/>
  <c r="AF23" i="3" s="1"/>
  <c r="Y32" i="3" s="1"/>
  <c r="Z7" i="3"/>
  <c r="Z23" i="3" s="1"/>
  <c r="AH7" i="3"/>
  <c r="X7" i="3"/>
  <c r="D26" i="3"/>
  <c r="AD7" i="3"/>
  <c r="V7" i="3"/>
  <c r="F8" i="3"/>
  <c r="Y7" i="3" s="1"/>
  <c r="AC7" i="3"/>
  <c r="W7" i="3"/>
  <c r="D11" i="3"/>
  <c r="AA7" i="3"/>
  <c r="AA23" i="3" s="1"/>
  <c r="E11" i="3"/>
  <c r="H55" i="5"/>
  <c r="E51" i="5"/>
  <c r="V25" i="5"/>
  <c r="V35" i="5" s="1"/>
  <c r="U25" i="5"/>
  <c r="U35" i="5" s="1"/>
  <c r="H56" i="5"/>
  <c r="D51" i="5"/>
  <c r="H54" i="5"/>
  <c r="S25" i="5"/>
  <c r="S35" i="5" s="1"/>
  <c r="S37" i="5" s="1"/>
  <c r="E50" i="5"/>
  <c r="E52" i="5" s="1"/>
  <c r="H57" i="5"/>
  <c r="D50" i="5"/>
  <c r="Q25" i="5"/>
  <c r="Q35" i="5" s="1"/>
  <c r="P25" i="5"/>
  <c r="P35" i="5" s="1"/>
  <c r="AJ7" i="3" l="1"/>
  <c r="AJ23" i="3" s="1"/>
  <c r="J34" i="3" s="1"/>
  <c r="W23" i="3"/>
  <c r="Y23" i="3"/>
  <c r="J25" i="3" s="1"/>
  <c r="AE7" i="3" s="1"/>
  <c r="H10" i="3"/>
  <c r="I10" i="3"/>
  <c r="X23" i="3"/>
  <c r="K43" i="3" s="1"/>
  <c r="K45" i="3" s="1"/>
  <c r="K54" i="5"/>
  <c r="W37" i="5"/>
  <c r="F51" i="5"/>
  <c r="D54" i="5"/>
  <c r="AB7" i="3"/>
  <c r="AB23" i="3" s="1"/>
  <c r="Y26" i="3" s="1"/>
  <c r="D41" i="3"/>
  <c r="E10" i="3"/>
  <c r="D10" i="3"/>
  <c r="D27" i="3"/>
  <c r="F27" i="3" s="1"/>
  <c r="F26" i="3"/>
  <c r="L56" i="5"/>
  <c r="J55" i="5"/>
  <c r="L55" i="5"/>
  <c r="J57" i="5"/>
  <c r="L57" i="5"/>
  <c r="J56" i="5"/>
  <c r="K60" i="5"/>
  <c r="K62" i="5" s="1"/>
  <c r="K61" i="5"/>
  <c r="F50" i="5"/>
  <c r="D52" i="5"/>
  <c r="F52" i="5" s="1"/>
  <c r="E57" i="5"/>
  <c r="D56" i="5"/>
  <c r="E56" i="5"/>
  <c r="Y25" i="3" l="1"/>
  <c r="AK7" i="3"/>
  <c r="AK8" i="3"/>
  <c r="AE8" i="3"/>
  <c r="AE24" i="3" s="1"/>
  <c r="K35" i="3"/>
  <c r="M36" i="3"/>
  <c r="K37" i="3"/>
  <c r="K36" i="3"/>
  <c r="M37" i="3"/>
  <c r="M35" i="3"/>
  <c r="D60" i="5"/>
  <c r="D57" i="5"/>
  <c r="D55" i="5"/>
  <c r="D61" i="5"/>
  <c r="D62" i="5" s="1"/>
  <c r="E55" i="5"/>
  <c r="K26" i="3"/>
  <c r="M26" i="3"/>
  <c r="K28" i="3"/>
  <c r="K27" i="3"/>
  <c r="M28" i="3"/>
  <c r="M27" i="3"/>
  <c r="D29" i="3"/>
  <c r="D40" i="3"/>
  <c r="D42" i="3" s="1"/>
  <c r="D34" i="3"/>
  <c r="E36" i="3" s="1"/>
  <c r="AK23" i="3" l="1"/>
  <c r="N50" i="3" s="1"/>
  <c r="H39" i="3"/>
  <c r="AE23" i="3"/>
  <c r="M30" i="3" s="1"/>
  <c r="J51" i="3"/>
  <c r="H30" i="3"/>
  <c r="N51" i="3"/>
  <c r="M39" i="3"/>
  <c r="E37" i="3"/>
  <c r="C36" i="3"/>
  <c r="C35" i="3"/>
  <c r="C37" i="3"/>
  <c r="D31" i="3"/>
  <c r="D30" i="3"/>
  <c r="E30" i="3"/>
  <c r="E31" i="3"/>
  <c r="D32" i="3"/>
  <c r="E32" i="3"/>
  <c r="E35" i="3"/>
  <c r="N52" i="3" l="1"/>
  <c r="J50" i="3"/>
  <c r="J52" i="3" s="1"/>
</calcChain>
</file>

<file path=xl/sharedStrings.xml><?xml version="1.0" encoding="utf-8"?>
<sst xmlns="http://schemas.openxmlformats.org/spreadsheetml/2006/main" count="319" uniqueCount="113">
  <si>
    <t>What type of data do you want to analyze?</t>
  </si>
  <si>
    <t>Cumulative Incidence (Risk) Data</t>
  </si>
  <si>
    <t>Incidence Rate (Person-Time) Data</t>
  </si>
  <si>
    <t>Case-Control Data</t>
  </si>
  <si>
    <t>Matched Case-Control Data</t>
  </si>
  <si>
    <t>See the Road Map for details:</t>
  </si>
  <si>
    <t>Road Map</t>
  </si>
  <si>
    <r>
      <t>Note:</t>
    </r>
    <r>
      <rPr>
        <sz val="10"/>
        <rFont val="Arial"/>
        <family val="2"/>
      </rPr>
      <t xml:space="preserve"> Original source and inspiration is Rothman's 'Episheet'. This spreadsheet has been modified from the original and contains only a subset of the functionality available in the original. The original Episheet is available from: http://members.aol.com/krothman/modepi.htm</t>
    </r>
  </si>
  <si>
    <t>This EPI 202 Calculator was prepared by Gregory Wellenius, ScD for use in EPI 202</t>
  </si>
  <si>
    <t>Instructions:</t>
  </si>
  <si>
    <t>1. Enter frequencies in yellow cells of 2x2 tables. Check against crude table below.</t>
  </si>
  <si>
    <t>2. Results appear in red.</t>
  </si>
  <si>
    <t>Stratum-Specific Estimates</t>
  </si>
  <si>
    <t>Test of No Association</t>
  </si>
  <si>
    <t>Summary Risk Ratio</t>
  </si>
  <si>
    <t>Summary Rate Difference</t>
  </si>
  <si>
    <t>Exposed</t>
  </si>
  <si>
    <t>Unexposed</t>
  </si>
  <si>
    <t>Total</t>
  </si>
  <si>
    <t>table</t>
  </si>
  <si>
    <t>RD</t>
  </si>
  <si>
    <t>RR</t>
  </si>
  <si>
    <t>a cell</t>
  </si>
  <si>
    <t>E(a|Ho)</t>
  </si>
  <si>
    <t>Var(a|Ho)</t>
  </si>
  <si>
    <t>a*No/T</t>
  </si>
  <si>
    <t>b*N1/T</t>
  </si>
  <si>
    <t>M1*N1*N0/T^2 - ab/T</t>
  </si>
  <si>
    <t>ln(RR)</t>
  </si>
  <si>
    <t>var(ln(RR))</t>
  </si>
  <si>
    <t>Contribution to test of homogeneity</t>
  </si>
  <si>
    <r>
      <t>Var(RD</t>
    </r>
    <r>
      <rPr>
        <vertAlign val="subscript"/>
        <sz val="8"/>
        <color theme="0" tint="-0.249977111117893"/>
        <rFont val="Arial"/>
        <family val="2"/>
      </rPr>
      <t>MH</t>
    </r>
    <r>
      <rPr>
        <sz val="8"/>
        <color theme="0" tint="-0.249977111117893"/>
        <rFont val="Arial"/>
        <family val="2"/>
      </rPr>
      <t>)</t>
    </r>
    <r>
      <rPr>
        <vertAlign val="subscript"/>
        <sz val="8"/>
        <color theme="0" tint="-0.249977111117893"/>
        <rFont val="Arial"/>
        <family val="2"/>
      </rPr>
      <t>num</t>
    </r>
  </si>
  <si>
    <r>
      <t>Var(RD</t>
    </r>
    <r>
      <rPr>
        <vertAlign val="subscript"/>
        <sz val="8"/>
        <color theme="0" tint="-0.249977111117893"/>
        <rFont val="Arial"/>
        <family val="2"/>
      </rPr>
      <t>MH</t>
    </r>
    <r>
      <rPr>
        <sz val="8"/>
        <color theme="0" tint="-0.249977111117893"/>
        <rFont val="Arial"/>
        <family val="2"/>
      </rPr>
      <t>)</t>
    </r>
    <r>
      <rPr>
        <vertAlign val="subscript"/>
        <sz val="8"/>
        <color theme="0" tint="-0.249977111117893"/>
        <rFont val="Arial"/>
        <family val="2"/>
      </rPr>
      <t>denom</t>
    </r>
  </si>
  <si>
    <r>
      <t>Var</t>
    </r>
    <r>
      <rPr>
        <vertAlign val="subscript"/>
        <sz val="8"/>
        <color theme="0" tint="-0.249977111117893"/>
        <rFont val="Arial"/>
        <family val="2"/>
      </rPr>
      <t>i</t>
    </r>
    <r>
      <rPr>
        <sz val="8"/>
        <color theme="0" tint="-0.249977111117893"/>
        <rFont val="Arial"/>
        <family val="2"/>
      </rPr>
      <t>(RD</t>
    </r>
    <r>
      <rPr>
        <vertAlign val="subscript"/>
        <sz val="8"/>
        <color theme="0" tint="-0.249977111117893"/>
        <rFont val="Arial"/>
        <family val="2"/>
      </rPr>
      <t>i</t>
    </r>
    <r>
      <rPr>
        <sz val="8"/>
        <color theme="0" tint="-0.249977111117893"/>
        <rFont val="Arial"/>
        <family val="2"/>
      </rPr>
      <t>)</t>
    </r>
  </si>
  <si>
    <t>W= new MH</t>
  </si>
  <si>
    <t>W*RD</t>
  </si>
  <si>
    <t>Cases</t>
  </si>
  <si>
    <t>Non-cases</t>
  </si>
  <si>
    <t>Crude Data</t>
  </si>
  <si>
    <t>Summary Risk Ratio using Mantel-Haenszel weights</t>
  </si>
  <si>
    <t>Tot</t>
  </si>
  <si>
    <t>Unexp.</t>
  </si>
  <si>
    <t>df =</t>
  </si>
  <si>
    <t>Summary CIR</t>
  </si>
  <si>
    <t xml:space="preserve">MH chi = </t>
  </si>
  <si>
    <t>90% CI =</t>
  </si>
  <si>
    <r>
      <t>Var(ln(RR</t>
    </r>
    <r>
      <rPr>
        <vertAlign val="subscript"/>
        <sz val="10"/>
        <color theme="0" tint="-0.249977111117893"/>
        <rFont val="Arial"/>
        <family val="2"/>
      </rPr>
      <t>MH</t>
    </r>
    <r>
      <rPr>
        <sz val="10"/>
        <color theme="0" tint="-0.249977111117893"/>
        <rFont val="Arial"/>
        <family val="2"/>
      </rPr>
      <t xml:space="preserve">)) = </t>
    </r>
  </si>
  <si>
    <t>95% CI =</t>
  </si>
  <si>
    <t>99% CI =</t>
  </si>
  <si>
    <t>Crude CIR</t>
  </si>
  <si>
    <t>Summary Risk Difference using Mantel-Haenszel-style weights</t>
  </si>
  <si>
    <r>
      <t>Var(RD</t>
    </r>
    <r>
      <rPr>
        <b/>
        <vertAlign val="subscript"/>
        <sz val="10"/>
        <color theme="0" tint="-0.249977111117893"/>
        <rFont val="Arial"/>
        <family val="2"/>
      </rPr>
      <t>MH</t>
    </r>
    <r>
      <rPr>
        <b/>
        <sz val="10"/>
        <color theme="0" tint="-0.249977111117893"/>
        <rFont val="Arial"/>
        <family val="2"/>
      </rPr>
      <t xml:space="preserve">) = </t>
    </r>
  </si>
  <si>
    <t>Crude CID</t>
  </si>
  <si>
    <t>Summary CID</t>
  </si>
  <si>
    <t>Hypothesis Test:</t>
  </si>
  <si>
    <t>Z-square =</t>
  </si>
  <si>
    <t>dof =</t>
  </si>
  <si>
    <t>Hypothesis Test</t>
  </si>
  <si>
    <t>p-value =</t>
  </si>
  <si>
    <t>Tests of Homogeneity</t>
  </si>
  <si>
    <t>Risk Ratio</t>
  </si>
  <si>
    <t>Risk Difference</t>
  </si>
  <si>
    <t>H =</t>
  </si>
  <si>
    <t>1. Enter events and person-time in yellow cells in tables below.  Check entries against crude data table.</t>
  </si>
  <si>
    <t>Summary Rate Ratio</t>
  </si>
  <si>
    <t>a*d/t</t>
  </si>
  <si>
    <t>b*c/t</t>
  </si>
  <si>
    <t>M1*N1*N0/T^2</t>
  </si>
  <si>
    <t>a*N0/T</t>
  </si>
  <si>
    <t>Person-time</t>
  </si>
  <si>
    <t>Summary Rate Ratio using Mantel-Haenszel weights</t>
  </si>
  <si>
    <t>Summary IRR</t>
  </si>
  <si>
    <r>
      <t>Var(ln(RR</t>
    </r>
    <r>
      <rPr>
        <vertAlign val="subscript"/>
        <sz val="10"/>
        <color indexed="22"/>
        <rFont val="Arial"/>
        <family val="2"/>
      </rPr>
      <t>MH</t>
    </r>
    <r>
      <rPr>
        <sz val="10"/>
        <color indexed="22"/>
        <rFont val="Arial"/>
        <family val="2"/>
      </rPr>
      <t xml:space="preserve">)) = </t>
    </r>
  </si>
  <si>
    <t>Crude IRR</t>
  </si>
  <si>
    <t>Summary Rate Difference using Mantel-Haenszel-style weights</t>
  </si>
  <si>
    <r>
      <t>Var(RD</t>
    </r>
    <r>
      <rPr>
        <b/>
        <vertAlign val="subscript"/>
        <sz val="10"/>
        <color rgb="FFFF0000"/>
        <rFont val="Arial"/>
        <family val="2"/>
      </rPr>
      <t>MH</t>
    </r>
    <r>
      <rPr>
        <b/>
        <sz val="10"/>
        <color rgb="FFFF0000"/>
        <rFont val="Arial"/>
        <family val="2"/>
      </rPr>
      <t xml:space="preserve">) = </t>
    </r>
  </si>
  <si>
    <t>Crude IRD</t>
  </si>
  <si>
    <t>Summary IRD</t>
  </si>
  <si>
    <t>Rate Ratio</t>
  </si>
  <si>
    <t>Rate Difference</t>
  </si>
  <si>
    <t>1. Enter number of cases and controls in yellow cells in tables below.  Check entries against crude data table.</t>
  </si>
  <si>
    <t>Summary Odds Ratio</t>
  </si>
  <si>
    <t>A=a*d/t</t>
  </si>
  <si>
    <t>B=b*c/t</t>
  </si>
  <si>
    <t>C=(a+d)/T</t>
  </si>
  <si>
    <t>D=(b+c)/T</t>
  </si>
  <si>
    <t>A*C</t>
  </si>
  <si>
    <t>A*D+B*C</t>
  </si>
  <si>
    <t>B*D</t>
  </si>
  <si>
    <t>Controls</t>
  </si>
  <si>
    <t>Summary Odds Ratio using Mantel-Haenszel weights</t>
  </si>
  <si>
    <t>Summary OR</t>
  </si>
  <si>
    <t>90% CI:</t>
  </si>
  <si>
    <t>95% CI:</t>
  </si>
  <si>
    <t>Crude OR</t>
  </si>
  <si>
    <t>99% CI:</t>
  </si>
  <si>
    <t>P-value for homogeneity:</t>
  </si>
  <si>
    <t>Odds Ratio</t>
  </si>
  <si>
    <t>1. Enter frequencies of individually matched sets in the yellow cells, for every matching ratio that applies.</t>
  </si>
  <si>
    <t>2. Results appear at the bottom of the sheet in red.</t>
  </si>
  <si>
    <t>Matching Ratio</t>
  </si>
  <si>
    <t xml:space="preserve"> Exposed Controls</t>
  </si>
  <si>
    <t>Case Exposed</t>
  </si>
  <si>
    <t>Case Unexposed</t>
  </si>
  <si>
    <t>GP</t>
  </si>
  <si>
    <t>GQ+HP</t>
  </si>
  <si>
    <t>HQ</t>
  </si>
  <si>
    <t>G=ad/t</t>
  </si>
  <si>
    <t>H=bc/t</t>
  </si>
  <si>
    <t xml:space="preserve">chi = </t>
  </si>
  <si>
    <t>var(lnOR)=</t>
  </si>
  <si>
    <t>Crude Analysis</t>
  </si>
  <si>
    <t>Matched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</si>
</sst>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E+00;\⿔"/>
    <numFmt numFmtId="166" formatCode="0.0000E+00"/>
    <numFmt numFmtId="167" formatCode="0.000E+00"/>
    <numFmt numFmtId="168" formatCode="#,##0.0000"/>
  </numFmts>
  <fonts count="25" x14ac:knownFonts="1"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8"/>
      <color indexed="22"/>
      <name val="Arial"/>
      <family val="2"/>
    </font>
    <font>
      <sz val="10"/>
      <color indexed="22"/>
      <name val="Arial"/>
      <family val="2"/>
    </font>
    <font>
      <b/>
      <sz val="10"/>
      <color indexed="2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vertAlign val="subscript"/>
      <sz val="10"/>
      <color indexed="22"/>
      <name val="Arial"/>
      <family val="2"/>
    </font>
    <font>
      <b/>
      <sz val="8"/>
      <color indexed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u/>
      <sz val="12"/>
      <color indexed="12"/>
      <name val="Arial"/>
      <family val="2"/>
    </font>
    <font>
      <b/>
      <sz val="10"/>
      <color rgb="FFFF0000"/>
      <name val="Arial"/>
      <family val="2"/>
    </font>
    <font>
      <b/>
      <vertAlign val="subscript"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8"/>
      <color theme="0" tint="-0.249977111117893"/>
      <name val="Arial"/>
      <family val="2"/>
    </font>
    <font>
      <vertAlign val="subscript"/>
      <sz val="8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vertAlign val="subscript"/>
      <sz val="10"/>
      <color theme="0" tint="-0.249977111117893"/>
      <name val="Arial"/>
      <family val="2"/>
    </font>
    <font>
      <b/>
      <vertAlign val="subscript"/>
      <sz val="10"/>
      <color theme="0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6"/>
        <bgColor indexed="64"/>
      </patternFill>
    </fill>
  </fills>
  <borders count="60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12"/>
      </right>
      <top style="thin">
        <color indexed="64"/>
      </top>
      <bottom style="thin">
        <color indexed="64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thick">
        <color indexed="37"/>
      </left>
      <right/>
      <top/>
      <bottom/>
      <diagonal/>
    </border>
    <border>
      <left style="thin">
        <color indexed="64"/>
      </left>
      <right style="thick">
        <color indexed="37"/>
      </right>
      <top style="thin">
        <color indexed="64"/>
      </top>
      <bottom style="thin">
        <color indexed="64"/>
      </bottom>
      <diagonal/>
    </border>
    <border>
      <left/>
      <right style="thick">
        <color indexed="37"/>
      </right>
      <top/>
      <bottom/>
      <diagonal/>
    </border>
    <border>
      <left style="thick">
        <color indexed="37"/>
      </left>
      <right/>
      <top/>
      <bottom style="thick">
        <color indexed="37"/>
      </bottom>
      <diagonal/>
    </border>
    <border>
      <left/>
      <right/>
      <top/>
      <bottom style="thick">
        <color indexed="37"/>
      </bottom>
      <diagonal/>
    </border>
    <border>
      <left/>
      <right style="thick">
        <color indexed="37"/>
      </right>
      <top/>
      <bottom style="thick">
        <color indexed="3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/>
      <right/>
      <top/>
      <bottom style="thick">
        <color indexed="60"/>
      </bottom>
      <diagonal/>
    </border>
    <border>
      <left/>
      <right style="thick">
        <color indexed="60"/>
      </right>
      <top/>
      <bottom/>
      <diagonal/>
    </border>
    <border>
      <left/>
      <right style="thick">
        <color indexed="60"/>
      </right>
      <top/>
      <bottom style="thick">
        <color indexed="60"/>
      </bottom>
      <diagonal/>
    </border>
    <border>
      <left/>
      <right/>
      <top style="thick">
        <color indexed="60"/>
      </top>
      <bottom/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 style="thick">
        <color indexed="60"/>
      </top>
      <bottom/>
      <diagonal/>
    </border>
    <border>
      <left style="thick">
        <color indexed="60"/>
      </left>
      <right style="thick">
        <color indexed="60"/>
      </right>
      <top/>
      <bottom/>
      <diagonal/>
    </border>
    <border>
      <left/>
      <right style="thick">
        <color indexed="60"/>
      </right>
      <top/>
      <bottom style="thick">
        <color indexed="37"/>
      </bottom>
      <diagonal/>
    </border>
    <border>
      <left style="thick">
        <color indexed="60"/>
      </left>
      <right/>
      <top style="thick">
        <color indexed="60"/>
      </top>
      <bottom/>
      <diagonal/>
    </border>
    <border>
      <left style="thick">
        <color indexed="37"/>
      </left>
      <right style="thick">
        <color indexed="60"/>
      </right>
      <top/>
      <bottom/>
      <diagonal/>
    </border>
    <border>
      <left style="thick">
        <color indexed="60"/>
      </left>
      <right/>
      <top/>
      <bottom style="thick">
        <color indexed="60"/>
      </bottom>
      <diagonal/>
    </border>
    <border>
      <left/>
      <right/>
      <top style="thick">
        <color indexed="37"/>
      </top>
      <bottom style="thick">
        <color indexed="60"/>
      </bottom>
      <diagonal/>
    </border>
    <border>
      <left/>
      <right/>
      <top style="thick">
        <color indexed="12"/>
      </top>
      <bottom style="thick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16"/>
      </right>
      <top/>
      <bottom style="thick">
        <color indexed="37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37"/>
      </left>
      <right style="thick">
        <color indexed="16"/>
      </right>
      <top/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n">
        <color indexed="64"/>
      </left>
      <right style="thick">
        <color indexed="16"/>
      </right>
      <top style="thin">
        <color indexed="64"/>
      </top>
      <bottom style="thin">
        <color indexed="64"/>
      </bottom>
      <diagonal/>
    </border>
    <border>
      <left/>
      <right style="thick">
        <color indexed="12"/>
      </right>
      <top style="thin">
        <color indexed="64"/>
      </top>
      <bottom/>
      <diagonal/>
    </border>
    <border>
      <left/>
      <right style="thick">
        <color indexed="12"/>
      </right>
      <top/>
      <bottom style="thin">
        <color indexed="64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37"/>
      </left>
      <right/>
      <top style="thick">
        <color indexed="37"/>
      </top>
      <bottom/>
      <diagonal/>
    </border>
    <border>
      <left/>
      <right/>
      <top style="thick">
        <color indexed="37"/>
      </top>
      <bottom/>
      <diagonal/>
    </border>
    <border>
      <left/>
      <right style="thick">
        <color indexed="37"/>
      </right>
      <top style="thick">
        <color indexed="37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1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12"/>
      </bottom>
      <diagonal/>
    </border>
    <border>
      <left/>
      <right style="thick">
        <color indexed="12"/>
      </right>
      <top style="thin">
        <color indexed="64"/>
      </top>
      <bottom style="thick">
        <color indexed="1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center" textRotation="90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textRotation="90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4" xfId="0" applyBorder="1"/>
    <xf numFmtId="0" fontId="0" fillId="2" borderId="5" xfId="0" applyFill="1" applyBorder="1" applyProtection="1">
      <protection locked="0"/>
    </xf>
    <xf numFmtId="0" fontId="0" fillId="3" borderId="5" xfId="0" applyFill="1" applyBorder="1"/>
    <xf numFmtId="0" fontId="0" fillId="3" borderId="6" xfId="0" applyFill="1" applyBorder="1"/>
    <xf numFmtId="0" fontId="5" fillId="0" borderId="0" xfId="0" applyFont="1"/>
    <xf numFmtId="0" fontId="0" fillId="4" borderId="5" xfId="0" applyFill="1" applyBorder="1"/>
    <xf numFmtId="0" fontId="0" fillId="4" borderId="6" xfId="0" applyFill="1" applyBorder="1"/>
    <xf numFmtId="0" fontId="7" fillId="0" borderId="0" xfId="0" applyFont="1"/>
    <xf numFmtId="0" fontId="8" fillId="0" borderId="0" xfId="0" applyFont="1"/>
    <xf numFmtId="0" fontId="0" fillId="0" borderId="7" xfId="0" applyBorder="1"/>
    <xf numFmtId="0" fontId="0" fillId="0" borderId="8" xfId="0" applyBorder="1"/>
    <xf numFmtId="0" fontId="7" fillId="0" borderId="8" xfId="0" applyFont="1" applyBorder="1"/>
    <xf numFmtId="0" fontId="8" fillId="0" borderId="8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9" xfId="0" applyBorder="1"/>
    <xf numFmtId="0" fontId="0" fillId="5" borderId="5" xfId="0" applyFill="1" applyBorder="1"/>
    <xf numFmtId="0" fontId="0" fillId="6" borderId="10" xfId="0" applyFill="1" applyBorder="1"/>
    <xf numFmtId="0" fontId="0" fillId="0" borderId="11" xfId="0" applyBorder="1"/>
    <xf numFmtId="0" fontId="0" fillId="7" borderId="10" xfId="0" applyFill="1" applyBorder="1"/>
    <xf numFmtId="0" fontId="5" fillId="0" borderId="0" xfId="0" applyFont="1" applyAlignment="1">
      <alignment horizontal="center"/>
    </xf>
    <xf numFmtId="0" fontId="7" fillId="0" borderId="9" xfId="0" applyFont="1" applyBorder="1"/>
    <xf numFmtId="0" fontId="7" fillId="0" borderId="0" xfId="0" applyFont="1" applyAlignment="1">
      <alignment horizontal="center"/>
    </xf>
    <xf numFmtId="0" fontId="7" fillId="0" borderId="11" xfId="0" applyFont="1" applyBorder="1"/>
    <xf numFmtId="0" fontId="5" fillId="0" borderId="0" xfId="0" applyFont="1" applyAlignment="1">
      <alignment vertical="center"/>
    </xf>
    <xf numFmtId="0" fontId="9" fillId="0" borderId="9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0" xfId="0" applyNumberFormat="1"/>
    <xf numFmtId="0" fontId="5" fillId="0" borderId="0" xfId="0" applyFont="1" applyAlignment="1">
      <alignment horizontal="center" textRotation="90"/>
    </xf>
    <xf numFmtId="0" fontId="0" fillId="6" borderId="5" xfId="0" applyFill="1" applyBorder="1"/>
    <xf numFmtId="0" fontId="4" fillId="0" borderId="15" xfId="0" applyFont="1" applyBorder="1" applyAlignment="1">
      <alignment horizontal="center"/>
    </xf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4" fillId="0" borderId="2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22" xfId="0" applyFont="1" applyBorder="1"/>
    <xf numFmtId="0" fontId="6" fillId="0" borderId="0" xfId="0" applyFont="1"/>
    <xf numFmtId="0" fontId="8" fillId="0" borderId="22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textRotation="90"/>
    </xf>
    <xf numFmtId="0" fontId="7" fillId="0" borderId="23" xfId="0" applyFont="1" applyBorder="1"/>
    <xf numFmtId="0" fontId="0" fillId="0" borderId="24" xfId="0" applyBorder="1"/>
    <xf numFmtId="0" fontId="5" fillId="0" borderId="24" xfId="0" applyFont="1" applyBorder="1"/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textRotation="90"/>
    </xf>
    <xf numFmtId="2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8" borderId="0" xfId="0" applyFill="1"/>
    <xf numFmtId="0" fontId="13" fillId="8" borderId="0" xfId="0" applyFont="1" applyFill="1"/>
    <xf numFmtId="164" fontId="7" fillId="0" borderId="0" xfId="0" applyNumberFormat="1" applyFont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25" xfId="0" applyBorder="1"/>
    <xf numFmtId="164" fontId="7" fillId="0" borderId="26" xfId="0" applyNumberFormat="1" applyFont="1" applyBorder="1" applyAlignment="1">
      <alignment horizontal="center"/>
    </xf>
    <xf numFmtId="0" fontId="0" fillId="0" borderId="27" xfId="0" applyBorder="1"/>
    <xf numFmtId="164" fontId="9" fillId="0" borderId="0" xfId="0" applyNumberFormat="1" applyFont="1" applyAlignment="1">
      <alignment horizontal="center"/>
    </xf>
    <xf numFmtId="164" fontId="9" fillId="0" borderId="26" xfId="0" applyNumberFormat="1" applyFon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164" fontId="0" fillId="0" borderId="27" xfId="0" applyNumberFormat="1" applyBorder="1"/>
    <xf numFmtId="0" fontId="7" fillId="0" borderId="0" xfId="0" applyFont="1" applyAlignment="1">
      <alignment horizontal="left"/>
    </xf>
    <xf numFmtId="0" fontId="9" fillId="0" borderId="28" xfId="0" applyFont="1" applyBorder="1" applyAlignment="1">
      <alignment horizontal="center"/>
    </xf>
    <xf numFmtId="0" fontId="0" fillId="0" borderId="28" xfId="0" applyBorder="1"/>
    <xf numFmtId="0" fontId="0" fillId="0" borderId="26" xfId="0" applyBorder="1"/>
    <xf numFmtId="0" fontId="7" fillId="0" borderId="29" xfId="0" applyFont="1" applyBorder="1" applyAlignment="1">
      <alignment horizontal="left"/>
    </xf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0" fillId="0" borderId="30" xfId="0" applyBorder="1"/>
    <xf numFmtId="0" fontId="0" fillId="0" borderId="31" xfId="0" applyBorder="1"/>
    <xf numFmtId="0" fontId="9" fillId="0" borderId="26" xfId="0" quotePrefix="1" applyFont="1" applyBorder="1"/>
    <xf numFmtId="0" fontId="7" fillId="0" borderId="26" xfId="0" quotePrefix="1" applyFont="1" applyBorder="1"/>
    <xf numFmtId="0" fontId="0" fillId="0" borderId="32" xfId="0" applyBorder="1"/>
    <xf numFmtId="0" fontId="7" fillId="0" borderId="33" xfId="0" applyFont="1" applyBorder="1"/>
    <xf numFmtId="0" fontId="7" fillId="0" borderId="29" xfId="0" applyFont="1" applyBorder="1"/>
    <xf numFmtId="0" fontId="7" fillId="0" borderId="2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4" xfId="0" applyBorder="1"/>
    <xf numFmtId="0" fontId="0" fillId="0" borderId="29" xfId="0" applyBorder="1"/>
    <xf numFmtId="164" fontId="7" fillId="0" borderId="25" xfId="0" applyNumberFormat="1" applyFont="1" applyBorder="1"/>
    <xf numFmtId="2" fontId="9" fillId="0" borderId="0" xfId="0" applyNumberFormat="1" applyFont="1" applyAlignment="1">
      <alignment horizontal="center"/>
    </xf>
    <xf numFmtId="0" fontId="0" fillId="0" borderId="35" xfId="0" applyBorder="1"/>
    <xf numFmtId="167" fontId="7" fillId="0" borderId="0" xfId="0" applyNumberFormat="1" applyFont="1" applyAlignment="1">
      <alignment horizontal="center"/>
    </xf>
    <xf numFmtId="167" fontId="0" fillId="0" borderId="0" xfId="0" applyNumberFormat="1"/>
    <xf numFmtId="167" fontId="9" fillId="0" borderId="0" xfId="0" applyNumberFormat="1" applyFont="1" applyAlignment="1">
      <alignment horizontal="center"/>
    </xf>
    <xf numFmtId="0" fontId="2" fillId="0" borderId="13" xfId="0" applyFont="1" applyBorder="1"/>
    <xf numFmtId="0" fontId="7" fillId="0" borderId="28" xfId="0" applyFont="1" applyBorder="1"/>
    <xf numFmtId="0" fontId="0" fillId="0" borderId="36" xfId="0" applyBorder="1"/>
    <xf numFmtId="0" fontId="9" fillId="0" borderId="37" xfId="0" applyFont="1" applyBorder="1" applyAlignment="1">
      <alignment horizontal="center"/>
    </xf>
    <xf numFmtId="0" fontId="0" fillId="0" borderId="37" xfId="0" applyBorder="1"/>
    <xf numFmtId="0" fontId="9" fillId="0" borderId="37" xfId="0" applyFont="1" applyBorder="1"/>
    <xf numFmtId="166" fontId="7" fillId="0" borderId="26" xfId="0" quotePrefix="1" applyNumberFormat="1" applyFont="1" applyBorder="1"/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3" fontId="0" fillId="2" borderId="5" xfId="0" applyNumberFormat="1" applyFill="1" applyBorder="1" applyProtection="1">
      <protection locked="0"/>
    </xf>
    <xf numFmtId="3" fontId="0" fillId="4" borderId="5" xfId="0" applyNumberFormat="1" applyFill="1" applyBorder="1"/>
    <xf numFmtId="3" fontId="0" fillId="4" borderId="6" xfId="0" applyNumberFormat="1" applyFill="1" applyBorder="1"/>
    <xf numFmtId="3" fontId="0" fillId="5" borderId="5" xfId="0" applyNumberFormat="1" applyFill="1" applyBorder="1"/>
    <xf numFmtId="3" fontId="0" fillId="7" borderId="10" xfId="0" applyNumberFormat="1" applyFill="1" applyBorder="1"/>
    <xf numFmtId="168" fontId="7" fillId="0" borderId="0" xfId="0" applyNumberFormat="1" applyFont="1" applyAlignment="1">
      <alignment horizontal="center"/>
    </xf>
    <xf numFmtId="0" fontId="7" fillId="0" borderId="23" xfId="0" applyFont="1" applyBorder="1" applyAlignment="1">
      <alignment horizontal="left"/>
    </xf>
    <xf numFmtId="0" fontId="5" fillId="0" borderId="38" xfId="0" applyFont="1" applyBorder="1" applyAlignment="1">
      <alignment horizontal="center"/>
    </xf>
    <xf numFmtId="0" fontId="5" fillId="0" borderId="39" xfId="0" applyFont="1" applyBorder="1"/>
    <xf numFmtId="0" fontId="5" fillId="0" borderId="40" xfId="0" applyFont="1" applyBorder="1"/>
    <xf numFmtId="0" fontId="2" fillId="0" borderId="41" xfId="0" applyFont="1" applyBorder="1"/>
    <xf numFmtId="0" fontId="9" fillId="0" borderId="24" xfId="0" quotePrefix="1" applyFont="1" applyBorder="1"/>
    <xf numFmtId="0" fontId="7" fillId="0" borderId="24" xfId="0" quotePrefix="1" applyFont="1" applyBorder="1"/>
    <xf numFmtId="0" fontId="2" fillId="0" borderId="23" xfId="0" applyFont="1" applyBorder="1"/>
    <xf numFmtId="0" fontId="4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9" fillId="0" borderId="24" xfId="0" applyNumberFormat="1" applyFont="1" applyBorder="1" applyAlignment="1">
      <alignment horizontal="center"/>
    </xf>
    <xf numFmtId="0" fontId="7" fillId="0" borderId="42" xfId="0" applyFont="1" applyBorder="1"/>
    <xf numFmtId="0" fontId="9" fillId="0" borderId="43" xfId="0" applyFont="1" applyBorder="1" applyAlignment="1">
      <alignment horizontal="center"/>
    </xf>
    <xf numFmtId="0" fontId="0" fillId="0" borderId="43" xfId="0" applyBorder="1"/>
    <xf numFmtId="0" fontId="9" fillId="0" borderId="43" xfId="0" applyFont="1" applyBorder="1"/>
    <xf numFmtId="0" fontId="0" fillId="0" borderId="44" xfId="0" applyBorder="1"/>
    <xf numFmtId="0" fontId="0" fillId="0" borderId="23" xfId="0" applyBorder="1"/>
    <xf numFmtId="0" fontId="0" fillId="0" borderId="45" xfId="0" applyBorder="1"/>
    <xf numFmtId="164" fontId="9" fillId="0" borderId="24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5" borderId="5" xfId="0" applyFill="1" applyBorder="1" applyAlignment="1" applyProtection="1">
      <alignment horizontal="center"/>
      <protection locked="0"/>
    </xf>
    <xf numFmtId="0" fontId="7" fillId="0" borderId="23" xfId="0" applyFont="1" applyBorder="1" applyAlignment="1">
      <alignment horizontal="center"/>
    </xf>
    <xf numFmtId="0" fontId="5" fillId="0" borderId="23" xfId="0" applyFont="1" applyBorder="1"/>
    <xf numFmtId="0" fontId="5" fillId="0" borderId="46" xfId="0" applyFont="1" applyBorder="1"/>
    <xf numFmtId="0" fontId="5" fillId="0" borderId="47" xfId="0" applyFont="1" applyBorder="1"/>
    <xf numFmtId="0" fontId="0" fillId="0" borderId="47" xfId="0" applyBorder="1"/>
    <xf numFmtId="0" fontId="0" fillId="0" borderId="48" xfId="0" applyBorder="1"/>
    <xf numFmtId="0" fontId="4" fillId="0" borderId="17" xfId="0" applyFont="1" applyBorder="1" applyAlignment="1">
      <alignment horizontal="right"/>
    </xf>
    <xf numFmtId="2" fontId="4" fillId="0" borderId="18" xfId="0" applyNumberFormat="1" applyFont="1" applyBorder="1" applyAlignment="1">
      <alignment horizontal="right"/>
    </xf>
    <xf numFmtId="0" fontId="4" fillId="0" borderId="19" xfId="0" applyFont="1" applyBorder="1" applyAlignment="1">
      <alignment horizontal="right"/>
    </xf>
    <xf numFmtId="2" fontId="4" fillId="0" borderId="22" xfId="0" applyNumberFormat="1" applyFont="1" applyBorder="1" applyAlignment="1">
      <alignment horizontal="right"/>
    </xf>
    <xf numFmtId="2" fontId="4" fillId="0" borderId="20" xfId="0" applyNumberFormat="1" applyFont="1" applyBorder="1" applyAlignment="1">
      <alignment horizontal="right"/>
    </xf>
    <xf numFmtId="0" fontId="7" fillId="0" borderId="24" xfId="0" applyFont="1" applyBorder="1"/>
    <xf numFmtId="0" fontId="0" fillId="0" borderId="46" xfId="0" applyBorder="1"/>
    <xf numFmtId="0" fontId="0" fillId="6" borderId="5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15" fillId="8" borderId="0" xfId="0" applyFont="1" applyFill="1"/>
    <xf numFmtId="0" fontId="16" fillId="8" borderId="0" xfId="1" applyFont="1" applyFill="1" applyAlignment="1" applyProtection="1"/>
    <xf numFmtId="0" fontId="12" fillId="8" borderId="0" xfId="1" applyFill="1" applyAlignment="1" applyProtection="1"/>
    <xf numFmtId="0" fontId="17" fillId="0" borderId="0" xfId="0" applyFont="1"/>
    <xf numFmtId="0" fontId="19" fillId="0" borderId="18" xfId="0" applyFont="1" applyBorder="1"/>
    <xf numFmtId="0" fontId="19" fillId="0" borderId="0" xfId="0" applyFont="1"/>
    <xf numFmtId="0" fontId="20" fillId="0" borderId="0" xfId="0" applyFont="1" applyAlignment="1">
      <alignment horizontal="center"/>
    </xf>
    <xf numFmtId="0" fontId="20" fillId="0" borderId="15" xfId="0" applyFont="1" applyBorder="1"/>
    <xf numFmtId="0" fontId="20" fillId="0" borderId="16" xfId="0" applyFont="1" applyBorder="1"/>
    <xf numFmtId="0" fontId="20" fillId="0" borderId="15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21" xfId="0" applyFont="1" applyBorder="1" applyAlignment="1">
      <alignment horizontal="center" wrapText="1"/>
    </xf>
    <xf numFmtId="0" fontId="20" fillId="0" borderId="16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19" fillId="0" borderId="17" xfId="0" applyFont="1" applyBorder="1"/>
    <xf numFmtId="0" fontId="22" fillId="0" borderId="0" xfId="0" applyFont="1"/>
    <xf numFmtId="0" fontId="19" fillId="0" borderId="19" xfId="0" applyFont="1" applyBorder="1"/>
    <xf numFmtId="0" fontId="19" fillId="0" borderId="20" xfId="0" applyFont="1" applyBorder="1"/>
    <xf numFmtId="0" fontId="19" fillId="0" borderId="22" xfId="0" applyFont="1" applyBorder="1"/>
    <xf numFmtId="0" fontId="22" fillId="0" borderId="22" xfId="0" applyFont="1" applyBorder="1"/>
    <xf numFmtId="0" fontId="19" fillId="0" borderId="0" xfId="0" applyFont="1" applyAlignment="1">
      <alignment vertical="center"/>
    </xf>
    <xf numFmtId="0" fontId="20" fillId="0" borderId="16" xfId="0" applyFont="1" applyBorder="1" applyAlignment="1">
      <alignment horizontal="center" vertical="center" wrapText="1"/>
    </xf>
    <xf numFmtId="4" fontId="9" fillId="0" borderId="0" xfId="0" applyNumberFormat="1" applyFont="1" applyAlignment="1">
      <alignment horizontal="center"/>
    </xf>
    <xf numFmtId="0" fontId="9" fillId="0" borderId="26" xfId="0" applyFont="1" applyBorder="1"/>
    <xf numFmtId="0" fontId="9" fillId="0" borderId="29" xfId="0" applyFont="1" applyBorder="1"/>
    <xf numFmtId="2" fontId="9" fillId="0" borderId="0" xfId="0" applyNumberFormat="1" applyFont="1"/>
    <xf numFmtId="0" fontId="9" fillId="0" borderId="35" xfId="0" applyFont="1" applyBorder="1"/>
    <xf numFmtId="0" fontId="9" fillId="0" borderId="25" xfId="0" applyFont="1" applyBorder="1"/>
    <xf numFmtId="0" fontId="9" fillId="0" borderId="27" xfId="0" applyFont="1" applyBorder="1"/>
    <xf numFmtId="0" fontId="4" fillId="0" borderId="0" xfId="0" applyFont="1" applyAlignment="1">
      <alignment horizontal="center" wrapText="1"/>
    </xf>
    <xf numFmtId="0" fontId="11" fillId="0" borderId="0" xfId="0" applyFont="1"/>
    <xf numFmtId="0" fontId="8" fillId="8" borderId="0" xfId="0" applyFont="1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7" fillId="0" borderId="35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0" fillId="0" borderId="22" xfId="0" applyFont="1" applyBorder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50" xfId="0" applyFont="1" applyBorder="1" applyAlignment="1">
      <alignment horizontal="left"/>
    </xf>
    <xf numFmtId="0" fontId="20" fillId="0" borderId="0" xfId="0" applyFont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167" fontId="7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64" fontId="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7" fontId="9" fillId="0" borderId="26" xfId="0" applyNumberFormat="1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52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51" xfId="0" applyFont="1" applyBorder="1" applyAlignment="1">
      <alignment horizontal="left"/>
    </xf>
    <xf numFmtId="167" fontId="7" fillId="0" borderId="26" xfId="0" applyNumberFormat="1" applyFont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2" fontId="9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9" xfId="0" applyFont="1" applyBorder="1" applyAlignment="1">
      <alignment horizontal="left"/>
    </xf>
    <xf numFmtId="166" fontId="7" fillId="0" borderId="0" xfId="0" applyNumberFormat="1" applyFont="1" applyAlignment="1">
      <alignment horizontal="center"/>
    </xf>
    <xf numFmtId="0" fontId="9" fillId="0" borderId="9" xfId="0" applyFont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29" xfId="0" applyFont="1" applyBorder="1" applyAlignment="1">
      <alignment horizontal="left"/>
    </xf>
    <xf numFmtId="0" fontId="7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7" fillId="0" borderId="56" xfId="0" applyNumberFormat="1" applyFont="1" applyBorder="1" applyAlignment="1">
      <alignment horizontal="center"/>
    </xf>
    <xf numFmtId="164" fontId="7" fillId="0" borderId="57" xfId="0" applyNumberFormat="1" applyFont="1" applyBorder="1" applyAlignment="1">
      <alignment horizontal="center"/>
    </xf>
    <xf numFmtId="164" fontId="7" fillId="0" borderId="58" xfId="0" applyNumberFormat="1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164" fontId="7" fillId="0" borderId="59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9" fillId="0" borderId="24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7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23" xfId="0" applyFont="1" applyBorder="1" applyAlignment="1">
      <alignment horizontal="left"/>
    </xf>
    <xf numFmtId="164" fontId="2" fillId="0" borderId="23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23" xfId="0" applyBorder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 textRotation="90"/>
    </xf>
    <xf numFmtId="0" fontId="5" fillId="0" borderId="0" xfId="0" applyFont="1" applyAlignment="1">
      <alignment horizontal="center" textRotation="90" wrapText="1"/>
    </xf>
    <xf numFmtId="0" fontId="5" fillId="0" borderId="0" xfId="0" applyFont="1" applyAlignment="1">
      <alignment horizontal="center" textRotation="90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D4"/>
      <color rgb="FFDD080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419100</xdr:colOff>
      <xdr:row>10</xdr:row>
      <xdr:rowOff>57150</xdr:rowOff>
    </xdr:from>
    <xdr:to>
      <xdr:col>31</xdr:col>
      <xdr:colOff>619125</xdr:colOff>
      <xdr:row>44</xdr:row>
      <xdr:rowOff>57150</xdr:rowOff>
    </xdr:to>
    <xdr:pic>
      <xdr:nvPicPr>
        <xdr:cNvPr id="1092" name="Picture 23">
          <a:extLst>
            <a:ext uri="{FF2B5EF4-FFF2-40B4-BE49-F238E27FC236}">
              <a16:creationId xmlns:a16="http://schemas.microsoft.com/office/drawing/2014/main" id="{1A473BE9-4883-4D07-A622-CC7D21611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238" y="1676400"/>
          <a:ext cx="8343900" cy="550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9</xdr:row>
      <xdr:rowOff>152400</xdr:rowOff>
    </xdr:from>
    <xdr:to>
      <xdr:col>10</xdr:col>
      <xdr:colOff>547688</xdr:colOff>
      <xdr:row>41</xdr:row>
      <xdr:rowOff>28575</xdr:rowOff>
    </xdr:to>
    <xdr:pic>
      <xdr:nvPicPr>
        <xdr:cNvPr id="1093" name="Picture 24">
          <a:extLst>
            <a:ext uri="{FF2B5EF4-FFF2-40B4-BE49-F238E27FC236}">
              <a16:creationId xmlns:a16="http://schemas.microsoft.com/office/drawing/2014/main" id="{8D06067C-4DDF-4EAA-B069-829623DD6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609725"/>
          <a:ext cx="8377238" cy="505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634999</xdr:colOff>
      <xdr:row>1</xdr:row>
      <xdr:rowOff>15874</xdr:rowOff>
    </xdr:from>
    <xdr:to>
      <xdr:col>21</xdr:col>
      <xdr:colOff>301623</xdr:colOff>
      <xdr:row>76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C1242D-AA08-44EA-8EC2-BBB11286B6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970" t="14165" r="40833" b="8340"/>
        <a:stretch/>
      </xdr:blipFill>
      <xdr:spPr>
        <a:xfrm>
          <a:off x="8731249" y="174624"/>
          <a:ext cx="8572501" cy="119062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0"/>
  </sheetPr>
  <dimension ref="A3:H23"/>
  <sheetViews>
    <sheetView workbookViewId="0">
      <selection activeCell="B14" sqref="B14"/>
    </sheetView>
  </sheetViews>
  <sheetFormatPr baseColWidth="10" defaultColWidth="11.33203125" defaultRowHeight="13" x14ac:dyDescent="0.15"/>
  <cols>
    <col min="1" max="16384" width="11.33203125" style="63"/>
  </cols>
  <sheetData>
    <row r="3" spans="1:5" ht="16" x14ac:dyDescent="0.2">
      <c r="A3" s="154" t="s">
        <v>0</v>
      </c>
      <c r="B3" s="64"/>
      <c r="C3" s="64"/>
      <c r="D3" s="64"/>
    </row>
    <row r="4" spans="1:5" ht="16" x14ac:dyDescent="0.2">
      <c r="A4" s="64"/>
      <c r="B4" s="64"/>
      <c r="C4" s="64"/>
      <c r="D4" s="64"/>
      <c r="E4" s="64"/>
    </row>
    <row r="5" spans="1:5" ht="16" x14ac:dyDescent="0.2">
      <c r="A5" s="64"/>
      <c r="B5" s="156" t="s">
        <v>1</v>
      </c>
      <c r="C5" s="64"/>
      <c r="D5" s="64"/>
      <c r="E5" s="64"/>
    </row>
    <row r="6" spans="1:5" ht="16" x14ac:dyDescent="0.2">
      <c r="A6" s="64"/>
      <c r="B6" s="64"/>
      <c r="C6" s="64"/>
      <c r="D6" s="64"/>
      <c r="E6" s="64"/>
    </row>
    <row r="7" spans="1:5" ht="16" x14ac:dyDescent="0.2">
      <c r="A7" s="64"/>
      <c r="B7" s="64"/>
      <c r="C7" s="64"/>
      <c r="D7" s="64"/>
      <c r="E7" s="64"/>
    </row>
    <row r="8" spans="1:5" ht="16" x14ac:dyDescent="0.2">
      <c r="A8" s="64"/>
      <c r="B8" s="155" t="s">
        <v>2</v>
      </c>
      <c r="C8" s="64"/>
      <c r="D8" s="64"/>
      <c r="E8" s="64"/>
    </row>
    <row r="9" spans="1:5" ht="16" x14ac:dyDescent="0.2">
      <c r="A9" s="64"/>
      <c r="B9" s="64"/>
      <c r="C9" s="64"/>
      <c r="D9" s="64"/>
      <c r="E9" s="64"/>
    </row>
    <row r="10" spans="1:5" ht="16" x14ac:dyDescent="0.2">
      <c r="A10" s="64"/>
      <c r="B10" s="64"/>
      <c r="C10" s="64"/>
      <c r="D10" s="64"/>
      <c r="E10" s="64"/>
    </row>
    <row r="11" spans="1:5" ht="16" x14ac:dyDescent="0.2">
      <c r="A11" s="64"/>
      <c r="B11" s="155" t="s">
        <v>3</v>
      </c>
      <c r="C11" s="64"/>
      <c r="D11" s="64"/>
      <c r="E11" s="64"/>
    </row>
    <row r="12" spans="1:5" ht="16" x14ac:dyDescent="0.2">
      <c r="A12" s="64"/>
      <c r="B12" s="64"/>
      <c r="C12" s="64"/>
      <c r="D12" s="64"/>
      <c r="E12" s="64"/>
    </row>
    <row r="13" spans="1:5" ht="16" x14ac:dyDescent="0.2">
      <c r="A13" s="64"/>
      <c r="B13" s="64"/>
      <c r="C13" s="64"/>
      <c r="D13" s="64"/>
      <c r="E13" s="64"/>
    </row>
    <row r="14" spans="1:5" ht="16" x14ac:dyDescent="0.2">
      <c r="A14" s="64"/>
      <c r="B14" s="155" t="s">
        <v>4</v>
      </c>
      <c r="C14" s="64"/>
      <c r="D14" s="64"/>
      <c r="E14" s="64"/>
    </row>
    <row r="17" spans="1:8" ht="16" x14ac:dyDescent="0.2">
      <c r="A17" s="154" t="s">
        <v>5</v>
      </c>
      <c r="E17" s="155" t="s">
        <v>6</v>
      </c>
    </row>
    <row r="20" spans="1:8" ht="58.5" customHeight="1" x14ac:dyDescent="0.15">
      <c r="A20" s="186" t="s">
        <v>7</v>
      </c>
      <c r="B20" s="187"/>
      <c r="C20" s="187"/>
      <c r="D20" s="187"/>
      <c r="E20" s="187"/>
      <c r="F20" s="187"/>
      <c r="G20" s="187"/>
      <c r="H20" s="187"/>
    </row>
    <row r="23" spans="1:8" x14ac:dyDescent="0.15">
      <c r="A23" s="63" t="s">
        <v>8</v>
      </c>
    </row>
  </sheetData>
  <mergeCells count="1">
    <mergeCell ref="A20:H20"/>
  </mergeCells>
  <phoneticPr fontId="0" type="noConversion"/>
  <hyperlinks>
    <hyperlink ref="B5" location="'Cumulative Incidence Data'!A1" display="Cumulative Incidence (Risk) Data" xr:uid="{00000000-0004-0000-0000-000000000000}"/>
    <hyperlink ref="B8" location="'Rate Data'!A1" display="Incidence Rate (Person-Time) Data" xr:uid="{00000000-0004-0000-0000-000001000000}"/>
    <hyperlink ref="B11" location="'Case-Control Data'!A1" display="Case-Control Data" xr:uid="{00000000-0004-0000-0000-000002000000}"/>
    <hyperlink ref="B14" location="'Matched Case-Control Data'!A1" display="Matched Case-Control Data" xr:uid="{00000000-0004-0000-0000-000003000000}"/>
    <hyperlink ref="E17" location="Roadmap!A1" display="Road Map" xr:uid="{00000000-0004-0000-0000-000004000000}"/>
  </hyperlink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"/>
  <sheetViews>
    <sheetView zoomScale="50" zoomScaleNormal="30" workbookViewId="0"/>
  </sheetViews>
  <sheetFormatPr baseColWidth="10" defaultColWidth="11.33203125" defaultRowHeight="13" x14ac:dyDescent="0.15"/>
  <cols>
    <col min="1" max="16384" width="11.33203125" style="63"/>
  </cols>
  <sheetData/>
  <phoneticPr fontId="14" type="noConversion"/>
  <pageMargins left="0.75" right="0.75" top="1" bottom="1" header="0.5" footer="0.5"/>
  <pageSetup orientation="portrait"/>
  <headerFooter alignWithMargins="0"/>
  <cellWatches>
    <cellWatch r="E37"/>
  </cellWatche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indexed="26"/>
  </sheetPr>
  <dimension ref="A1:AL124"/>
  <sheetViews>
    <sheetView tabSelected="1" topLeftCell="A11" zoomScale="85" zoomScaleNormal="100" workbookViewId="0">
      <selection activeCell="D10" sqref="D10"/>
    </sheetView>
  </sheetViews>
  <sheetFormatPr baseColWidth="10" defaultColWidth="8.83203125" defaultRowHeight="13" x14ac:dyDescent="0.15"/>
  <cols>
    <col min="1" max="19" width="9.1640625" customWidth="1"/>
    <col min="20" max="20" width="5.6640625" customWidth="1"/>
    <col min="21" max="21" width="9.33203125" customWidth="1"/>
    <col min="22" max="22" width="10.1640625" customWidth="1"/>
    <col min="23" max="23" width="4.33203125" bestFit="1" customWidth="1"/>
    <col min="24" max="25" width="12" bestFit="1" customWidth="1"/>
    <col min="26" max="26" width="7" customWidth="1"/>
    <col min="27" max="27" width="6.83203125" customWidth="1"/>
    <col min="28" max="28" width="8.33203125" customWidth="1"/>
    <col min="29" max="29" width="7.6640625" customWidth="1"/>
    <col min="30" max="30" width="9.33203125" customWidth="1"/>
    <col min="31" max="33" width="10.6640625" customWidth="1"/>
    <col min="34" max="34" width="6.33203125" customWidth="1"/>
    <col min="35" max="35" width="10.33203125" customWidth="1"/>
    <col min="36" max="36" width="9" customWidth="1"/>
    <col min="37" max="37" width="10.6640625" customWidth="1"/>
    <col min="38" max="38" width="6.33203125" customWidth="1"/>
    <col min="39" max="40" width="8.33203125" bestFit="1" customWidth="1"/>
    <col min="41" max="42" width="8.33203125" customWidth="1"/>
    <col min="43" max="43" width="8.6640625" bestFit="1" customWidth="1"/>
    <col min="44" max="44" width="8.33203125" customWidth="1"/>
    <col min="45" max="45" width="6.6640625" customWidth="1"/>
    <col min="46" max="46" width="5.83203125" customWidth="1"/>
  </cols>
  <sheetData>
    <row r="1" spans="1:38" x14ac:dyDescent="0.15">
      <c r="A1" s="1" t="s">
        <v>9</v>
      </c>
    </row>
    <row r="2" spans="1:38" x14ac:dyDescent="0.15">
      <c r="A2" t="s">
        <v>10</v>
      </c>
    </row>
    <row r="3" spans="1:38" x14ac:dyDescent="0.15">
      <c r="A3" s="2" t="s">
        <v>11</v>
      </c>
    </row>
    <row r="4" spans="1:38" x14ac:dyDescent="0.15">
      <c r="A4" s="2"/>
    </row>
    <row r="5" spans="1:38" ht="14" thickBot="1" x14ac:dyDescent="0.2">
      <c r="T5" s="159"/>
      <c r="U5" s="192" t="s">
        <v>12</v>
      </c>
      <c r="V5" s="192"/>
      <c r="W5" s="192" t="s">
        <v>13</v>
      </c>
      <c r="X5" s="192"/>
      <c r="Y5" s="192"/>
      <c r="Z5" s="197" t="s">
        <v>14</v>
      </c>
      <c r="AA5" s="197"/>
      <c r="AB5" s="197"/>
      <c r="AC5" s="197"/>
      <c r="AD5" s="197"/>
      <c r="AE5" s="197"/>
      <c r="AF5" s="160"/>
      <c r="AG5" s="160"/>
      <c r="AH5" s="197" t="s">
        <v>15</v>
      </c>
      <c r="AI5" s="197"/>
      <c r="AJ5" s="197"/>
      <c r="AK5" s="197"/>
    </row>
    <row r="6" spans="1:38" ht="52" thickTop="1" x14ac:dyDescent="0.15">
      <c r="A6" s="3"/>
      <c r="B6" s="4"/>
      <c r="C6" s="4"/>
      <c r="D6" s="5" t="s">
        <v>16</v>
      </c>
      <c r="E6" s="5" t="s">
        <v>17</v>
      </c>
      <c r="F6" s="5" t="s">
        <v>18</v>
      </c>
      <c r="G6" s="6"/>
      <c r="H6" s="5" t="s">
        <v>16</v>
      </c>
      <c r="I6" s="5" t="s">
        <v>17</v>
      </c>
      <c r="J6" s="5" t="s">
        <v>18</v>
      </c>
      <c r="K6" s="6"/>
      <c r="L6" s="5" t="s">
        <v>16</v>
      </c>
      <c r="M6" s="5" t="s">
        <v>17</v>
      </c>
      <c r="N6" s="5" t="s">
        <v>18</v>
      </c>
      <c r="O6" s="6"/>
      <c r="P6" s="5" t="s">
        <v>16</v>
      </c>
      <c r="Q6" s="5" t="s">
        <v>17</v>
      </c>
      <c r="R6" s="7" t="s">
        <v>18</v>
      </c>
      <c r="S6" s="8"/>
      <c r="T6" s="160" t="s">
        <v>19</v>
      </c>
      <c r="U6" s="161" t="s">
        <v>20</v>
      </c>
      <c r="V6" s="162" t="s">
        <v>21</v>
      </c>
      <c r="W6" s="163" t="s">
        <v>22</v>
      </c>
      <c r="X6" s="164" t="s">
        <v>23</v>
      </c>
      <c r="Y6" s="165" t="s">
        <v>24</v>
      </c>
      <c r="Z6" s="163" t="s">
        <v>25</v>
      </c>
      <c r="AA6" s="164" t="s">
        <v>26</v>
      </c>
      <c r="AB6" s="166" t="s">
        <v>27</v>
      </c>
      <c r="AC6" s="164" t="s">
        <v>28</v>
      </c>
      <c r="AD6" s="164" t="s">
        <v>29</v>
      </c>
      <c r="AE6" s="167" t="s">
        <v>30</v>
      </c>
      <c r="AF6" s="166" t="s">
        <v>31</v>
      </c>
      <c r="AG6" s="166" t="s">
        <v>32</v>
      </c>
      <c r="AH6" s="164" t="s">
        <v>33</v>
      </c>
      <c r="AI6" s="166" t="s">
        <v>34</v>
      </c>
      <c r="AJ6" s="164" t="s">
        <v>35</v>
      </c>
      <c r="AK6" s="167" t="s">
        <v>30</v>
      </c>
      <c r="AL6" s="40"/>
    </row>
    <row r="7" spans="1:38" x14ac:dyDescent="0.15">
      <c r="A7" s="10" t="s">
        <v>36</v>
      </c>
      <c r="D7" s="11">
        <v>360</v>
      </c>
      <c r="E7" s="11">
        <v>17</v>
      </c>
      <c r="F7" s="12">
        <f>IF(AND(D7="",E7=""),"",SUM(D7,E7))</f>
        <v>377</v>
      </c>
      <c r="H7" s="11">
        <v>661</v>
      </c>
      <c r="I7" s="11">
        <v>55</v>
      </c>
      <c r="J7" s="12">
        <f>IF(AND(H7="",I7=""),"",SUM(H7,I7))</f>
        <v>716</v>
      </c>
      <c r="L7" s="11"/>
      <c r="M7" s="11"/>
      <c r="N7" s="12" t="str">
        <f>IF(AND(L7="",M7=""),"",SUM(L7,M7))</f>
        <v/>
      </c>
      <c r="P7" s="11"/>
      <c r="Q7" s="11"/>
      <c r="R7" s="13" t="str">
        <f>IF(AND(P7="",Q7=""),"",SUM(P7,Q7))</f>
        <v/>
      </c>
      <c r="T7" s="168">
        <v>1</v>
      </c>
      <c r="U7" s="169">
        <f xml:space="preserve"> IF( OR(D9="", E9 = ""),"", IF(D7&lt;=D9,   IF(E7&lt;=E9,  (IF(SUM(D9)*SUM(E9)&gt;0,D7/D9 - E7/E9,"")),"error"),"error"))</f>
        <v>0.25086075746657055</v>
      </c>
      <c r="V7" s="158">
        <f>IF(U7="error","error",IF(SUM(D9)*SUM(E9)&gt;0,IF(SUM(E7)&gt;0,D7*E9/E7/D9,IF(SUM(D7)&gt;0,"infinity","indet.")),""))</f>
        <v>2.0181995450113748</v>
      </c>
      <c r="W7" s="169">
        <f>IF(U7&lt;&gt;"error",IF(D7&gt;0,D7,""),"")</f>
        <v>360</v>
      </c>
      <c r="X7" s="159">
        <f>IF(U7&lt;&gt;"error",IF(SUM(F9)&gt;0,F7*D9/F9,""),"")</f>
        <v>344.19672131147541</v>
      </c>
      <c r="Y7" s="158">
        <f>IF(U7&lt;&gt;"error",IF(SUM(F9)&gt;1,SUM(F7)*SUM(F8)*SUM(D9)*SUM(E9)/F9^3,""),"")</f>
        <v>15.710961913789463</v>
      </c>
      <c r="Z7" s="169">
        <f>IF(U7&lt;&gt;"error",IF(SUM(F9)&gt;0,D7*E9/F9,""),"")</f>
        <v>31.324085750315259</v>
      </c>
      <c r="AA7" s="159">
        <f>IF(U7&lt;&gt;"error",IF(SUM(F9)&gt;0,E7*D9/F9,""),"")</f>
        <v>15.520807061790668</v>
      </c>
      <c r="AB7" s="159">
        <f>IF(U7&lt;&gt;"error",IF(SUM(Y7)&gt;0,(F7*D9*E9)/F9^2 - D7*E7/F9,""),"")</f>
        <v>22.231492774895088</v>
      </c>
      <c r="AC7" s="159">
        <f>IF(SUM(E7)*SUM(D8)*SUM(E8)*SUM(D7)&gt;0,LN(D7*E9/E7/D9),"")</f>
        <v>0.70220579960548268</v>
      </c>
      <c r="AD7" s="159">
        <f>IF(SUM(E7)*SUM(D8)*SUM(E8)*SUM(D7)&gt;0,1/D7 - 1/D9 +1/E7 - 1/E9,"")</f>
        <v>4.5727338096740816E-2</v>
      </c>
      <c r="AE7" s="158">
        <f xml:space="preserve"> IF(SUM(E7)*SUM(D8)*SUM(E8)*SUM(D7)&gt;0, ((AC7 - LN($J$25)))^2/AD7,"")</f>
        <v>5.4575568234468609E-2</v>
      </c>
      <c r="AF7" s="159">
        <f>IF(SUM(F9)&gt;0, ((D7*D8*E9^2)/(F9^2*(D9-1)))+((E7*E8*D9^2)/(F9^2*(E9-1))),"")</f>
        <v>12.20832752539417</v>
      </c>
      <c r="AG7" s="159">
        <f>IF(SUM(F9)&gt;0,D9*E9/F9,"")</f>
        <v>62.996216897856243</v>
      </c>
      <c r="AH7" s="159">
        <f>IF(SUM(E7)*SUM(D8)*SUM(E8)*SUM(D7)&gt;0, D7*D8/D9^3 + E7*E8/E9^3,"")</f>
        <v>3.0362393896745028E-3</v>
      </c>
      <c r="AI7" s="159">
        <f>AG7</f>
        <v>62.996216897856243</v>
      </c>
      <c r="AJ7" s="159">
        <f>IF(SUM(AH7)&gt;0,AI7*U7,"")</f>
        <v>15.803278688524589</v>
      </c>
      <c r="AK7" s="158">
        <f xml:space="preserve"> IF(SUM(E7)*SUM(D8)*SUM(E8)*SUM(D7)&gt;0, ((U7 - $J$34))^2/AH7,"")</f>
        <v>2.801640156401684</v>
      </c>
    </row>
    <row r="8" spans="1:38" x14ac:dyDescent="0.15">
      <c r="A8" s="10" t="s">
        <v>37</v>
      </c>
      <c r="D8" s="12">
        <f>IF(SUM(D9)=0,"",IF(SUM(D9)&gt;=SUM(D7),D9-D7,"ERR"))</f>
        <v>364</v>
      </c>
      <c r="E8" s="12">
        <f>IF(SUM(E9)=0,"",IF(SUM(E9)&gt;=SUM(E7),E9-E7,"ERR"))</f>
        <v>52</v>
      </c>
      <c r="F8" s="12">
        <f>IF(AND(D8="",E8=""),"",SUM(D8,E8))</f>
        <v>416</v>
      </c>
      <c r="H8" s="12">
        <f>IF(SUM(H9)=0,"",IF(SUM(H9)&gt;=SUM(H7),H9-H7,"ERR"))</f>
        <v>1814</v>
      </c>
      <c r="I8" s="12">
        <f>IF(SUM(I9)=0,"",IF(SUM(I9)&gt;=SUM(I7),I9-I7,"ERR"))</f>
        <v>389</v>
      </c>
      <c r="J8" s="12">
        <f>IF(AND(H8="",I8=""),"",SUM(H8,I8))</f>
        <v>2203</v>
      </c>
      <c r="L8" s="12" t="str">
        <f>IF(SUM(L9)=0,"",IF(SUM(L9)&gt;=SUM(L7),L9-L7,"ERR"))</f>
        <v/>
      </c>
      <c r="M8" s="12" t="str">
        <f>IF(SUM(M9)=0,"",IF(SUM(M9)&gt;=SUM(M7),M9-M7,"ERR"))</f>
        <v/>
      </c>
      <c r="N8" s="12" t="str">
        <f>IF(AND(L8="",M8=""),"",SUM(L8,M8))</f>
        <v/>
      </c>
      <c r="P8" s="12" t="str">
        <f>IF(SUM(P9)=0,"",IF(SUM(P9)&gt;=SUM(P7),P9-P7,"ERR"))</f>
        <v/>
      </c>
      <c r="Q8" s="12" t="str">
        <f>IF(SUM(Q9)=0,"",IF(SUM(Q9)&gt;=SUM(Q7),Q9-Q7,"ERR"))</f>
        <v/>
      </c>
      <c r="R8" s="13" t="str">
        <f>IF(AND(P8="",Q8=""),"",SUM(P8,Q8))</f>
        <v/>
      </c>
      <c r="T8" s="168">
        <v>2</v>
      </c>
      <c r="U8" s="169">
        <f xml:space="preserve"> IF( OR(H9="", I9 = ""),"", IF(H7&lt;=H9,   IF(I7&lt;=I9,  (IF(SUM(H9)*SUM(I9)&gt;0,H7/H9 - I7/I9,"")),"error"),"error"))</f>
        <v>0.14319683319683318</v>
      </c>
      <c r="V8" s="158">
        <f>IF(U8="error","error",IF(SUM(H9)*SUM(I9)&gt;0,IF(SUM(I7)&gt;0,H7*I9/I7/H9,IF(SUM(H7)&gt;0,"infinity","indet.")),""))</f>
        <v>2.1559889807162533</v>
      </c>
      <c r="W8" s="169">
        <f>IF(U8&lt;&gt;"error",IF(H7&gt;0,H7,""),"")</f>
        <v>661</v>
      </c>
      <c r="X8" s="159">
        <f>IF(U8&lt;&gt;"error",IF(SUM(J9)&gt;0,J7*H9/J9,""),"")</f>
        <v>607.09146968139771</v>
      </c>
      <c r="Y8" s="158">
        <f>IF(U8&lt;&gt;"error",IF(SUM(J9)&gt;1,SUM(J7)*SUM(J8)*SUM(H9)*SUM(I9)/J9^3,""),"")</f>
        <v>69.692077014929524</v>
      </c>
      <c r="Z8" s="169">
        <f>IF(U8&lt;&gt;"error",IF(SUM(J9)&gt;0,H7*I9/J9,""),"")</f>
        <v>100.5426515930113</v>
      </c>
      <c r="AA8" s="159">
        <f>IF(U8&lt;&gt;"error",IF(SUM(J9)&gt;0,I7*H9/J9,""),"")</f>
        <v>46.634121274409047</v>
      </c>
      <c r="AB8" s="159">
        <f>IF(U8&lt;&gt;"error",IF(SUM(Y8)&gt;0,(J7*H9*I9)/J9^2 - H7*I7/J9,""),"")</f>
        <v>79.888185179356157</v>
      </c>
      <c r="AC8" s="159">
        <f>IF(SUM(I7)*SUM(H8)*SUM(I8)*SUM(H7)&gt;0,LN(H7*I9/H9/I7),"")</f>
        <v>0.76824954204864937</v>
      </c>
      <c r="AD8" s="159">
        <f>IF(SUM(I7)*SUM(H8)*SUM(I8)*SUM(H7)&gt;0,1/H7 - 1/H9 + 1/I7 - 1/I9,"")</f>
        <v>1.7038384829610242E-2</v>
      </c>
      <c r="AE8" s="158">
        <f xml:space="preserve"> IF(SUM(I7)*SUM(H8)*SUM(I8)*SUM(H7)&gt;0, ((AC8 - LN($J$25)))^2/AD8,"")</f>
        <v>1.5190262743610551E-2</v>
      </c>
      <c r="AF8" s="159">
        <f>IF(SUM(J9)&gt;0,((H7*H8*I9^2)/(J9^2*(H9-1)))+((I7*I8*H9^2)/(J9^2*(I9-1))),"")</f>
        <v>45.934271228448246</v>
      </c>
      <c r="AG8" s="159">
        <f>IF(SUM(J9)&gt;0,H9*I9/J9,"")</f>
        <v>376.46454265159304</v>
      </c>
      <c r="AH8" s="159">
        <f>IF(SUM(I7)*SUM(H8)*SUM(I8)*SUM(H7)&gt;0, H7*H8/H9^3 + I7*I8/I9^3,"")</f>
        <v>3.2352345621824904E-4</v>
      </c>
      <c r="AI8" s="159">
        <f>AG8</f>
        <v>376.46454265159304</v>
      </c>
      <c r="AJ8" s="159">
        <f t="shared" ref="AJ8:AJ19" si="0">IF(SUM(AH8)&gt;0,AI8*U8,"")</f>
        <v>53.90853031860226</v>
      </c>
      <c r="AK8" s="158">
        <f xml:space="preserve"> IF(SUM(I7)*SUM(H8)*SUM(I8)*SUM(H7)&gt;0, ((U8 - $J$34))^2/AH8,"")</f>
        <v>0.73624671942288933</v>
      </c>
    </row>
    <row r="9" spans="1:38" x14ac:dyDescent="0.15">
      <c r="A9" s="10" t="s">
        <v>18</v>
      </c>
      <c r="D9" s="11">
        <v>724</v>
      </c>
      <c r="E9" s="11">
        <v>69</v>
      </c>
      <c r="F9" s="15">
        <f>IF(SUM(D9,E9)=0,"",SUM(D9,E9))</f>
        <v>793</v>
      </c>
      <c r="H9" s="11">
        <v>2475</v>
      </c>
      <c r="I9" s="11">
        <v>444</v>
      </c>
      <c r="J9" s="15">
        <f>IF(SUM(H9,I9)=0,"",SUM(H9,I9))</f>
        <v>2919</v>
      </c>
      <c r="L9" s="11"/>
      <c r="M9" s="11"/>
      <c r="N9" s="15" t="str">
        <f>IF(SUM(L9,M9)=0,"",SUM(L9,M9))</f>
        <v/>
      </c>
      <c r="P9" s="11"/>
      <c r="Q9" s="11"/>
      <c r="R9" s="16" t="str">
        <f>IF(SUM(P9,Q9)=0,"",SUM(P9,Q9))</f>
        <v/>
      </c>
      <c r="T9" s="168">
        <v>3</v>
      </c>
      <c r="U9" s="169" t="str">
        <f xml:space="preserve"> IF( OR(L9="", M9 = ""),"", IF(L7&lt;=L9,   IF(M7&lt;=M9,  (IF(SUM(L9)*SUM(M9)&gt;0,L7/L9 - M7/M9,"")),"error"),"error"))</f>
        <v/>
      </c>
      <c r="V9" s="158" t="str">
        <f>IF(U9="error","error",IF(SUM(L9)*SUM(M9)&gt;0,IF(SUM(M7)&gt;0,L7*M9/L9/M7,IF(SUM(L7)&gt;0,"infinity","indet.")),""))</f>
        <v/>
      </c>
      <c r="W9" s="169" t="str">
        <f>IF(U9&lt;&gt;"error",IF(L7&gt;0,L7,""),"")</f>
        <v/>
      </c>
      <c r="X9" s="159" t="str">
        <f>IF(U9&lt;&gt;"error",IF(SUM(N9)&gt;0,N7*L9/N9,""),"")</f>
        <v/>
      </c>
      <c r="Y9" s="158" t="str">
        <f>IF(U9&lt;&gt;"error",IF(SUM(N9)&gt;1,SUM(N7)*SUM(N8)*SUM(L9)*SUM(M9)/N9^3,""),"")</f>
        <v/>
      </c>
      <c r="Z9" s="169" t="str">
        <f>IF(U9&lt;&gt;"error",IF(SUM(N9)&gt;0,L7*M9/N9,""),"")</f>
        <v/>
      </c>
      <c r="AA9" s="159" t="str">
        <f>IF(U9&lt;&gt;"error",IF(SUM(N9)&gt;0,M7*L9/N9,""),"")</f>
        <v/>
      </c>
      <c r="AB9" s="159" t="str">
        <f>IF(U9&lt;&gt;"error",IF(SUM(Y9)&gt;0,(N7*L9*M9)/N9^2 - L7*M7/N9,""),"")</f>
        <v/>
      </c>
      <c r="AC9" s="159" t="str">
        <f>IF(SUM(L7)*SUM(L8)*SUM(M7)*SUM(M8)&gt;0,LN(L7*M9/L9/M7),"")</f>
        <v/>
      </c>
      <c r="AD9" s="159" t="str">
        <f>IF(SUM(L7)*SUM(L8)*SUM(M7)*SUM(M8)&gt;0,1/L7 - 1/L9 +1/M7 -1/M9,"")</f>
        <v/>
      </c>
      <c r="AE9" s="158" t="str">
        <f xml:space="preserve"> IF(SUM(L7)*SUM(L8)*SUM(M7)*SUM(M8),((AC9 - LN($J$25)))^2/AD9,"")</f>
        <v/>
      </c>
      <c r="AF9" s="159" t="str">
        <f>IF(SUM(N9)&gt;0,((L7*L8*M9^2)/(N9^2*(L9-1)))+((M7*M8*L9^2)/(N9^2*(M9-1))),"")</f>
        <v/>
      </c>
      <c r="AG9" s="159" t="str">
        <f>IF(SUM(N9)&gt;0,L9*M9/N9,"")</f>
        <v/>
      </c>
      <c r="AH9" s="159" t="str">
        <f>IF(SUM(L7)*SUM(L8)*SUM(M7)*SUM(M8)&gt;0, L7*L8/L9^3 + M7*M8/M9^3,"")</f>
        <v/>
      </c>
      <c r="AI9" s="159" t="str">
        <f t="shared" ref="AI9:AI18" si="1">AG9</f>
        <v/>
      </c>
      <c r="AJ9" s="159" t="str">
        <f t="shared" si="0"/>
        <v/>
      </c>
      <c r="AK9" s="158" t="str">
        <f>IF(SUM(L7)*SUM(L8)*SUM(M7)*SUM(M8)&gt;0, ((U9 - $J$34))^2/AH9,"")</f>
        <v/>
      </c>
    </row>
    <row r="10" spans="1:38" x14ac:dyDescent="0.15">
      <c r="A10" s="10"/>
      <c r="D10" s="17" t="str">
        <f>IF(V7&lt;&gt;"","CIR=","")</f>
        <v>CIR=</v>
      </c>
      <c r="E10" s="195">
        <f>V7</f>
        <v>2.0181995450113748</v>
      </c>
      <c r="F10" s="195"/>
      <c r="G10" s="18"/>
      <c r="H10" s="17" t="str">
        <f>IF(V8&lt;&gt;"","CIR=","")</f>
        <v>CIR=</v>
      </c>
      <c r="I10" s="195">
        <f>V8</f>
        <v>2.1559889807162533</v>
      </c>
      <c r="J10" s="195"/>
      <c r="K10" s="18"/>
      <c r="L10" s="17" t="str">
        <f>IF(V9&lt;&gt;"","CIR=","")</f>
        <v/>
      </c>
      <c r="M10" s="195" t="str">
        <f>V9</f>
        <v/>
      </c>
      <c r="N10" s="195"/>
      <c r="O10" s="18"/>
      <c r="P10" s="17" t="str">
        <f>IF(V10&lt;&gt;"","CIR=","")</f>
        <v/>
      </c>
      <c r="Q10" s="195" t="str">
        <f>V10</f>
        <v/>
      </c>
      <c r="R10" s="196"/>
      <c r="T10" s="168">
        <v>4</v>
      </c>
      <c r="U10" s="169" t="str">
        <f xml:space="preserve"> IF( OR(P9="", Q9 = ""),"", IF(P7&lt;=P9,   IF(Q7&lt;=Q9,  (IF(SUM(P9)*SUM(Q9)&gt;0,P7/P9 - Q7/Q9,"")),"error"),"error"))</f>
        <v/>
      </c>
      <c r="V10" s="158" t="str">
        <f>IF(U10="error","error",IF(SUM(P9)*SUM(Q9)&gt;0,IF(SUM(Q7)&gt;0,P7*Q9/Q7/P9,IF(SUM(P7)&gt;0,"infinity","indet.")),""))</f>
        <v/>
      </c>
      <c r="W10" s="169" t="str">
        <f>IF(U10&lt;&gt;"error",IF(P7&gt;0,P7,""),"")</f>
        <v/>
      </c>
      <c r="X10" s="159" t="str">
        <f>IF(U10&lt;&gt;"error",IF(SUM(R9)&gt;0,R7*P9/R9,""),"")</f>
        <v/>
      </c>
      <c r="Y10" s="158" t="str">
        <f>IF(U10&lt;&gt;"error",IF(SUM(R9)&gt;1,SUM(R7)*SUM(R8)*SUM(P9)*SUM(Q9)/R9^3,""),"")</f>
        <v/>
      </c>
      <c r="Z10" s="169" t="str">
        <f>IF(U10&lt;&gt;"error",IF(SUM(R9)&gt;0,P7*Q9/R9,""),"")</f>
        <v/>
      </c>
      <c r="AA10" s="159" t="str">
        <f>IF(U10&lt;&gt;"error",IF(SUM(R9)&gt;0,Q7*P9/R9,""),"")</f>
        <v/>
      </c>
      <c r="AB10" s="159" t="str">
        <f>IF(U10&lt;&gt;"error",IF(SUM(Y10)&gt;0,(R7*P9*Q9)/R9^2 - P7*Q7/R9,""),"")</f>
        <v/>
      </c>
      <c r="AC10" s="159" t="str">
        <f>IF(SUM(P7)*SUM(Q8)*SUM(P8)*SUM(Q7)&gt;0,LN(P7*Q9/P9/Q7),"")</f>
        <v/>
      </c>
      <c r="AD10" s="159" t="str">
        <f>IF(SUM(P7)*SUM(Q8)*SUM(P8)*SUM(Q7)&gt;0,1/P7 - 1/P9 +1/Q7 -1/Q9,"")</f>
        <v/>
      </c>
      <c r="AE10" s="158" t="str">
        <f xml:space="preserve"> IF(SUM(P7)*SUM(Q8)*SUM(P8)*SUM(Q7)&gt;0, ((AC10 - LN($J$25)))^2/AD10, "")</f>
        <v/>
      </c>
      <c r="AF10" s="159" t="str">
        <f>IF(SUM(R9)&gt;0,((P7*P8*Q9^2)/(R9^2*(P9-1)))+((Q7*Q8*P9^2)/(R9^2*(Q9-1))),"")</f>
        <v/>
      </c>
      <c r="AG10" s="159" t="str">
        <f>IF(SUM(R9)&gt;0,P9*Q9/R9,"")</f>
        <v/>
      </c>
      <c r="AH10" s="159" t="str">
        <f>IF(SUM(P7)*SUM(Q8)*SUM(P8)*SUM(Q7)&gt;0, P7*P8/P9^3 + Q7*Q8/Q9^3,"")</f>
        <v/>
      </c>
      <c r="AI10" s="159" t="str">
        <f t="shared" si="1"/>
        <v/>
      </c>
      <c r="AJ10" s="159" t="str">
        <f t="shared" si="0"/>
        <v/>
      </c>
      <c r="AK10" s="158" t="str">
        <f>IF(SUM(P7)*SUM(Q8)*SUM(P8)*SUM(Q7)&gt;0, ((U10 - $J$34))^2/AH10,"")</f>
        <v/>
      </c>
    </row>
    <row r="11" spans="1:38" x14ac:dyDescent="0.15">
      <c r="A11" s="10"/>
      <c r="D11" s="17" t="str">
        <f>IF(U7&lt;&gt;"","CID=","")</f>
        <v>CID=</v>
      </c>
      <c r="E11" s="213">
        <f>U7</f>
        <v>0.25086075746657055</v>
      </c>
      <c r="F11" s="213"/>
      <c r="G11" s="18"/>
      <c r="H11" s="17" t="str">
        <f>IF(U8&lt;&gt;"","CID=","")</f>
        <v>CID=</v>
      </c>
      <c r="I11" s="213">
        <f>U8</f>
        <v>0.14319683319683318</v>
      </c>
      <c r="J11" s="213"/>
      <c r="K11" s="18"/>
      <c r="L11" s="17" t="str">
        <f>IF(U9&lt;&gt;"","CID=","")</f>
        <v/>
      </c>
      <c r="M11" s="213" t="str">
        <f>U9</f>
        <v/>
      </c>
      <c r="N11" s="213"/>
      <c r="O11" s="18"/>
      <c r="P11" s="17" t="str">
        <f>IF(U10&lt;&gt;"","CID=","")</f>
        <v/>
      </c>
      <c r="Q11" s="213" t="str">
        <f>U10</f>
        <v/>
      </c>
      <c r="R11" s="214"/>
      <c r="T11" s="168">
        <v>5</v>
      </c>
      <c r="U11" s="169" t="str">
        <f xml:space="preserve"> IF( OR(D14="", E14 = ""),"",  IF(D12&lt;=D14,   IF(E12&lt;=E14,  (IF(SUM(D14)*SUM(E14)&gt;0,D12/D14 - E12/E14,"")),"error"),"error"))</f>
        <v/>
      </c>
      <c r="V11" s="158" t="str">
        <f>IF(U11="error","error",IF(SUM(D14)*SUM(E14)&gt;0,IF(SUM(E12)&gt;0,D12*E14/E12/D14,IF(SUM(D12)&gt;0,"infinity","indet.")),""))</f>
        <v/>
      </c>
      <c r="W11" s="169" t="str">
        <f>IF(U11&lt;&gt;"error",IF(D12&gt;0,D12,""),"")</f>
        <v/>
      </c>
      <c r="X11" s="159" t="str">
        <f>IF(U11&lt;&gt;"error",IF(SUM(F14)&gt;0,F12*D14/F14,""),"")</f>
        <v/>
      </c>
      <c r="Y11" s="158" t="str">
        <f>IF(U11&lt;&gt;"error",IF(SUM(F14)&gt;1,SUM(F12)*SUM(F13)*SUM(D14)*SUM(E14)/F14^3,""),"")</f>
        <v/>
      </c>
      <c r="Z11" s="169" t="str">
        <f>IF(U11&lt;&gt;"error",IF(SUM(F14)&gt;0,D12*E14/F14,""),"")</f>
        <v/>
      </c>
      <c r="AA11" s="159" t="str">
        <f>IF(U11&lt;&gt;"error",IF(SUM(F14)&gt;0,E12*D14/F14,""),"")</f>
        <v/>
      </c>
      <c r="AB11" s="159" t="str">
        <f>IF(U11&lt;&gt;"error",IF(SUM(Y11)&gt;0,(F12*D14*E14)/F14^2 - D12*E12/F14,""),"")</f>
        <v/>
      </c>
      <c r="AC11" s="159" t="str">
        <f>IF(SUM(E12)*SUM(D13)*SUM(E13)*SUM(D12)&gt;0,LN(D12*E14/E12/D14),"")</f>
        <v/>
      </c>
      <c r="AD11" s="159" t="str">
        <f>IF(SUM(E12)*SUM(D13)*SUM(E13)*SUM(D12)&gt;0,1/D12 - 1/D14 +1/E12 -1/E14,"")</f>
        <v/>
      </c>
      <c r="AE11" s="158" t="str">
        <f xml:space="preserve"> IF(SUM(E12)*SUM(D13)*SUM(E13)*SUM(D12)&gt;0, ((AC11 - LN($J$25)))^2/AD11,"")</f>
        <v/>
      </c>
      <c r="AF11" s="159" t="str">
        <f>IF(SUM(F14)&gt;0, ((D12*D13*E14^2)/(F14^2*(D14-1)))+((E12*E13*D14^2)/(F14^2*(E14-1))),"")</f>
        <v/>
      </c>
      <c r="AG11" s="159" t="str">
        <f>IF(SUM(F14)&gt;0,D14*E14/F14,"")</f>
        <v/>
      </c>
      <c r="AH11" s="159" t="str">
        <f>IF(SUM(E12)*SUM(D13)*SUM(E13)*SUM(D12)&gt;0, D12*D13/D14^3 + E12*E13/E14^3,"")</f>
        <v/>
      </c>
      <c r="AI11" s="159" t="str">
        <f>AG11</f>
        <v/>
      </c>
      <c r="AJ11" s="170" t="str">
        <f t="shared" si="0"/>
        <v/>
      </c>
      <c r="AK11" s="158" t="str">
        <f xml:space="preserve"> IF(SUM(E12)*SUM(D13)*SUM(E13)*SUM(D12)&gt;0, ((U11 - $J$34))^2/AH11,"")</f>
        <v/>
      </c>
    </row>
    <row r="12" spans="1:38" x14ac:dyDescent="0.15">
      <c r="A12" s="10" t="s">
        <v>36</v>
      </c>
      <c r="D12" s="11"/>
      <c r="E12" s="11"/>
      <c r="F12" s="12" t="str">
        <f>IF(AND(D12="",E12=""),"",SUM(D12,E12))</f>
        <v/>
      </c>
      <c r="H12" s="11"/>
      <c r="I12" s="11"/>
      <c r="J12" s="12" t="str">
        <f>IF(AND(H12="",I12=""),"",SUM(H12,I12))</f>
        <v/>
      </c>
      <c r="L12" s="11"/>
      <c r="M12" s="11"/>
      <c r="N12" s="12" t="str">
        <f>IF(AND(L12="",M12=""),"",SUM(L12,M12))</f>
        <v/>
      </c>
      <c r="P12" s="11"/>
      <c r="Q12" s="11"/>
      <c r="R12" s="13" t="str">
        <f>IF(AND(P12="",Q12=""),"",SUM(P12,Q12))</f>
        <v/>
      </c>
      <c r="T12" s="168">
        <v>6</v>
      </c>
      <c r="U12" s="169" t="str">
        <f xml:space="preserve"> IF( OR(H14="", I14 = ""),"", IF(H12&lt;=H14,   IF(I12&lt;=I14,  (IF(SUM(H14)*SUM(I14)&gt;0,H12/H14 - I12/I14,"")),"error"),"error"))</f>
        <v/>
      </c>
      <c r="V12" s="158" t="str">
        <f>IF(U12="error","error",IF(SUM(I14)*SUM(H14)&gt;0,IF(SUM(I12)&gt;0,H12*I14/I12/H14,IF(SUM(H12)&gt;0,"infinity","indet.")),""))</f>
        <v/>
      </c>
      <c r="W12" s="169" t="str">
        <f>IF(U12&lt;&gt;"error",IF(H12&gt;0,H12,""),"")</f>
        <v/>
      </c>
      <c r="X12" s="159" t="str">
        <f>IF(U12&lt;&gt;"error",IF(SUM(J14)&gt;0,J12*H14/J14,""),"")</f>
        <v/>
      </c>
      <c r="Y12" s="158" t="str">
        <f>IF(U12&lt;&gt;"error",IF(SUM(J14)&gt;1,SUM(J12)*SUM(J13)*SUM(H14)*SUM(I14)/J14^3,""),"")</f>
        <v/>
      </c>
      <c r="Z12" s="169" t="str">
        <f>IF(U12&lt;&gt;"error",IF(SUM(J14)&gt;0,H12*I14/J14,""),"")</f>
        <v/>
      </c>
      <c r="AA12" s="159" t="str">
        <f>IF(U12&lt;&gt;"error",IF(SUM(J14)&gt;0,I12*H14/J14,""),"")</f>
        <v/>
      </c>
      <c r="AB12" s="159" t="str">
        <f>IF(U12&lt;&gt;"error",IF(SUM(Y12)&gt;0,(J12*H14*I14)/J14^2 - H12*I12/J14,""),"")</f>
        <v/>
      </c>
      <c r="AC12" s="159" t="str">
        <f>IF(SUM(I12)*SUM(H13)*SUM(I13)*SUM(H12)&gt;0,LN(H12*I14/H14/I12),"")</f>
        <v/>
      </c>
      <c r="AD12" s="159" t="str">
        <f>IF(SUM(I12)*SUM(H13)*SUM(I13)*SUM(H12)&gt;0,1/H12 - 1/H14 +1/I12 -1/I14,"")</f>
        <v/>
      </c>
      <c r="AE12" s="158" t="str">
        <f xml:space="preserve"> IF(SUM(I12)*SUM(H13)*SUM(I13)*SUM(H12)&gt;0, ((AC12 - LN($J$25)))^2/AD12,"")</f>
        <v/>
      </c>
      <c r="AF12" s="159" t="str">
        <f>IF(SUM(J14)&gt;0,((H12*H13*I14^2)/(J14^2*(H14-1)))+((I12*I13*H14^2)/(J14^2*(I14-1))),"")</f>
        <v/>
      </c>
      <c r="AG12" s="159" t="str">
        <f>IF(SUM(J14)&gt;0,H14*I14/J14,"")</f>
        <v/>
      </c>
      <c r="AH12" s="159" t="str">
        <f>IF(SUM(I12)*SUM(H13)*SUM(I13)*SUM(H12)&gt;0, H12*H13/H14^3 + I12*I13/I14^3,"")</f>
        <v/>
      </c>
      <c r="AI12" s="159" t="str">
        <f t="shared" si="1"/>
        <v/>
      </c>
      <c r="AJ12" s="170" t="str">
        <f t="shared" si="0"/>
        <v/>
      </c>
      <c r="AK12" s="158" t="str">
        <f xml:space="preserve"> IF(SUM(I12)*SUM(H13)*SUM(I13)*SUM(H12)&gt;0, ((U12 - $J$34))^2/AH12,"")</f>
        <v/>
      </c>
    </row>
    <row r="13" spans="1:38" x14ac:dyDescent="0.15">
      <c r="A13" s="10" t="s">
        <v>37</v>
      </c>
      <c r="D13" s="12" t="str">
        <f>IF(SUM(D14)=0,"",IF(SUM(D14)&gt;=SUM(D12),D14-D12,"ERR"))</f>
        <v/>
      </c>
      <c r="E13" s="12" t="str">
        <f>IF(SUM(E14)=0,"",IF(SUM(E14)&gt;=SUM(E12),E14-E12,"ERR"))</f>
        <v/>
      </c>
      <c r="F13" s="12" t="str">
        <f>IF(AND(D13="",E13=""),"",SUM(D13,E13))</f>
        <v/>
      </c>
      <c r="H13" s="12" t="str">
        <f>IF(SUM(H14)=0,"",IF(SUM(H14)&gt;=SUM(H12),H14-H12,"ERR"))</f>
        <v/>
      </c>
      <c r="I13" s="12" t="str">
        <f>IF(SUM(I14)=0,"",IF(SUM(I14)&gt;=SUM(I12),I14-I12,"ERR"))</f>
        <v/>
      </c>
      <c r="J13" s="12" t="str">
        <f>IF(AND(H13="",I13=""),"",SUM(H13,I13))</f>
        <v/>
      </c>
      <c r="L13" s="12" t="str">
        <f>IF(SUM(L14)=0,"",IF(SUM(L14)&gt;=SUM(L12),L14-L12,"ERR"))</f>
        <v/>
      </c>
      <c r="M13" s="12" t="str">
        <f>IF(SUM(M14)=0,"",IF(SUM(M14)&gt;=SUM(M12),M14-M12,"ERR"))</f>
        <v/>
      </c>
      <c r="N13" s="12" t="str">
        <f>IF(AND(L13="",M13=""),"",SUM(L13,M13))</f>
        <v/>
      </c>
      <c r="P13" s="12" t="str">
        <f>IF(SUM(P14)=0,"",IF(SUM(P14)&gt;=SUM(P12),P14-P12,"ERR"))</f>
        <v/>
      </c>
      <c r="Q13" s="12" t="str">
        <f>IF(SUM(Q14)=0,"",IF(SUM(Q14)&gt;=SUM(Q12),Q14-Q12,"ERR"))</f>
        <v/>
      </c>
      <c r="R13" s="13" t="str">
        <f>IF(AND(P13="",Q13=""),"",SUM(P13,Q13))</f>
        <v/>
      </c>
      <c r="T13" s="168">
        <v>7</v>
      </c>
      <c r="U13" s="169" t="str">
        <f xml:space="preserve"> IF( OR(L14="", M14 = ""),"", IF(L12&lt;=L14,   IF(M12&lt;=M14,  (IF(SUM(L14)*SUM(M14)&gt;0,L12/L14 - M12/M14,"")),"error"),"error"))</f>
        <v/>
      </c>
      <c r="V13" s="158" t="str">
        <f>IF(U13="error","error",IF(SUM(L14)*SUM(M14)&gt;0,IF(SUM(M12)&gt;0,L12*M14/L14/M12,IF(SUM(L12)&gt;0,"infinity","indet.")),""))</f>
        <v/>
      </c>
      <c r="W13" s="169" t="str">
        <f>IF(U13&lt;&gt;"error",IF(L12&gt;0,L12,""),"")</f>
        <v/>
      </c>
      <c r="X13" s="159" t="str">
        <f>IF(U13&lt;&gt;"error",IF(SUM(N14)&gt;0,N12*L14/N14,""),"")</f>
        <v/>
      </c>
      <c r="Y13" s="158" t="str">
        <f>IF(U13&lt;&gt;"error",IF(SUM(N14)&gt;1,SUM(N12)*SUM(N13)*SUM(L14)*SUM(M14)/N14^3,""),"")</f>
        <v/>
      </c>
      <c r="Z13" s="169" t="str">
        <f>IF(U13&lt;&gt;"error",IF(SUM(N12)&gt;0,L12*M14/N14,""),"")</f>
        <v/>
      </c>
      <c r="AA13" s="159" t="str">
        <f>IF(U13&lt;&gt;"error",IF(SUM(N14)&gt;0,M12*L14/N14,""),"")</f>
        <v/>
      </c>
      <c r="AB13" s="159" t="str">
        <f>IF(U13&lt;&gt;"error",IF(SUM(Y13)&gt;0,(N12*L14*M14)/N14^2 - L12*M12/N14,""),"")</f>
        <v/>
      </c>
      <c r="AC13" s="159" t="str">
        <f>IF(SUM(L12)*SUM(L13)*SUM(M12)*SUM(M13)&gt;0,LN(L12*M14/L14/M12),"")</f>
        <v/>
      </c>
      <c r="AD13" s="159" t="str">
        <f>IF(SUM(L12)*SUM(L13)*SUM(M12)*SUM(M13)&gt;0,1/L12 - 1/L14 +1/M12 -1/M14,"")</f>
        <v/>
      </c>
      <c r="AE13" s="158" t="str">
        <f xml:space="preserve"> IF(SUM(L12)*SUM(L13)*SUM(M12)*SUM(M13),((AC13 - LN($J$25)))^2/AD13,"")</f>
        <v/>
      </c>
      <c r="AF13" s="159" t="str">
        <f>IF(SUM(N14)&gt;0,((L12*L13*M14^2)/(N14^2*(L14-1)))+((M12*M13*L14^2)/(N14^2*(M14-1))),"")</f>
        <v/>
      </c>
      <c r="AG13" s="159" t="str">
        <f>IF(SUM(N14)&gt;0,L14*M14/N14,"")</f>
        <v/>
      </c>
      <c r="AH13" s="159" t="str">
        <f>IF(SUM(L12)*SUM(L13)*SUM(M12)*SUM(M13)&gt;0, L12*L13/L14^3 + M12*M13/M14^3,"")</f>
        <v/>
      </c>
      <c r="AI13" s="159" t="str">
        <f t="shared" si="1"/>
        <v/>
      </c>
      <c r="AJ13" s="170" t="str">
        <f t="shared" si="0"/>
        <v/>
      </c>
      <c r="AK13" s="158" t="str">
        <f>IF(SUM(L12)*SUM(L13)*SUM(M12)*SUM(M13)&gt;0, ((U13 - $J$34))^2/AH13,"")</f>
        <v/>
      </c>
    </row>
    <row r="14" spans="1:38" x14ac:dyDescent="0.15">
      <c r="A14" s="10" t="s">
        <v>18</v>
      </c>
      <c r="D14" s="11"/>
      <c r="E14" s="11"/>
      <c r="F14" s="15" t="str">
        <f>IF(SUM(D14,E14)=0,"",SUM(D14,E14))</f>
        <v/>
      </c>
      <c r="H14" s="11"/>
      <c r="I14" s="11"/>
      <c r="J14" s="15" t="str">
        <f>IF(SUM(H14,I14)=0,"",SUM(H14,I14))</f>
        <v/>
      </c>
      <c r="L14" s="11"/>
      <c r="M14" s="11"/>
      <c r="N14" s="15" t="str">
        <f>IF(SUM(L14,M14)=0,"",SUM(L14,M14))</f>
        <v/>
      </c>
      <c r="P14" s="11"/>
      <c r="Q14" s="11"/>
      <c r="R14" s="16" t="str">
        <f>IF(SUM(P14,Q14)=0,"",SUM(P14,Q14))</f>
        <v/>
      </c>
      <c r="T14" s="168">
        <v>8</v>
      </c>
      <c r="U14" s="169" t="str">
        <f xml:space="preserve"> IF( OR(P14="", Q14 = ""),"", IF(P12&lt;=P14,   IF(Q12&lt;=Q14,  (IF(SUM(P14)*SUM(Q14)&gt;0,P12/P14 - Q12/Q14,"")),"error"),"error"))</f>
        <v/>
      </c>
      <c r="V14" s="158" t="str">
        <f>IF(U14="error","error",IF(SUM(P14)*SUM(Q14)&gt;0,IF(SUM(Q12)&gt;0,P12*Q14/Q12/P14,IF(SUM(P12)&gt;0,"infinity","indet.")),""))</f>
        <v/>
      </c>
      <c r="W14" s="169" t="str">
        <f>IF(U14&lt;&gt;"error",IF(P12&gt;0,P12,""),"")</f>
        <v/>
      </c>
      <c r="X14" s="159" t="str">
        <f>IF(U14&lt;&gt;"error",IF(SUM(R14)&gt;0,R12*P14/R14,""),"")</f>
        <v/>
      </c>
      <c r="Y14" s="158" t="str">
        <f>IF(U14&lt;&gt;"error",IF(SUM(R14)&gt;1,SUM(R12)*SUM(R13)*SUM(P14)*SUM(Q14)/R14^3,""),"")</f>
        <v/>
      </c>
      <c r="Z14" s="169" t="str">
        <f>IF(U14&lt;&gt;"error",IF(SUM(R14)&gt;0,P12*Q14/R14,""),"")</f>
        <v/>
      </c>
      <c r="AA14" s="159" t="str">
        <f>IF(U14&lt;&gt;"error",IF(SUM(R14)&gt;0,Q12*P14/R14,""),"")</f>
        <v/>
      </c>
      <c r="AB14" s="159" t="str">
        <f>IF(U14&lt;&gt;"error",IF(SUM(Y14)&gt;0,(R12*P14*Q14)/R14^2 - P12*Q12/R14,""),"")</f>
        <v/>
      </c>
      <c r="AC14" s="159" t="str">
        <f>IF(SUM(P12)*SUM(Q13)*SUM(P13)*SUM(Q12)&gt;0,LN(P12*Q14/P14/Q12),"")</f>
        <v/>
      </c>
      <c r="AD14" s="159" t="str">
        <f>IF(SUM(P12)*SUM(Q13)*SUM(P13)*SUM(Q12)&gt;0,1/P12 - 1/P14 +1/Q12 -1/Q14,"")</f>
        <v/>
      </c>
      <c r="AE14" s="158" t="str">
        <f xml:space="preserve"> IF(SUM(P12)*SUM(Q13)*SUM(P13)*SUM(Q12)&gt;0, ((AC14 - LN($J$25)))^2/AD14, "")</f>
        <v/>
      </c>
      <c r="AF14" s="159" t="str">
        <f>IF(SUM(R14)&gt;0,((P12*P13*Q14^2)/(R14^2*(P14-1)))+((Q12*Q13*P14^2)/(R14^2*(Q14-1))),"")</f>
        <v/>
      </c>
      <c r="AG14" s="159" t="str">
        <f>IF(SUM(R14)&gt;0,P14*Q14/R14,"")</f>
        <v/>
      </c>
      <c r="AH14" s="159" t="str">
        <f>IF(SUM(P12)*SUM(Q13)*SUM(P13)*SUM(Q12)&gt;0, P12*P13/P14^3 + Q12*Q13/Q14^3,"")</f>
        <v/>
      </c>
      <c r="AI14" s="159" t="str">
        <f t="shared" si="1"/>
        <v/>
      </c>
      <c r="AJ14" s="170" t="str">
        <f t="shared" si="0"/>
        <v/>
      </c>
      <c r="AK14" s="158" t="str">
        <f>IF(SUM(P12)*SUM(Q13)*SUM(P13)*SUM(Q12)&gt;0, ((U14 - $J$34))^2/AH14,"")</f>
        <v/>
      </c>
    </row>
    <row r="15" spans="1:38" x14ac:dyDescent="0.15">
      <c r="A15" s="10"/>
      <c r="D15" s="17" t="str">
        <f>IF(V11&lt;&gt;"","CIR=","")</f>
        <v/>
      </c>
      <c r="E15" s="195" t="str">
        <f>V11</f>
        <v/>
      </c>
      <c r="F15" s="195"/>
      <c r="G15" s="18"/>
      <c r="H15" s="17" t="str">
        <f>IF(V12&lt;&gt;"","CIR=","")</f>
        <v/>
      </c>
      <c r="I15" s="195" t="str">
        <f>V12</f>
        <v/>
      </c>
      <c r="J15" s="195"/>
      <c r="K15" s="18"/>
      <c r="L15" s="17" t="str">
        <f>IF(V13&lt;&gt;"","CIR=","")</f>
        <v/>
      </c>
      <c r="M15" s="195" t="str">
        <f>V13</f>
        <v/>
      </c>
      <c r="N15" s="195"/>
      <c r="O15" s="18"/>
      <c r="P15" s="17" t="str">
        <f>IF(V14&lt;&gt;"","CIR=","")</f>
        <v/>
      </c>
      <c r="Q15" s="195" t="str">
        <f>V14</f>
        <v/>
      </c>
      <c r="R15" s="196"/>
      <c r="T15" s="168">
        <v>9</v>
      </c>
      <c r="U15" s="169" t="str">
        <f xml:space="preserve"> IF( OR(D19="", E19 = ""),"",  IF(D17&lt;=D19,   IF(E17&lt;=E19,  (IF(SUM(D19)*SUM(E19)&gt;0,D17/D19 - E17/E19,"")),"error"),"error"))</f>
        <v/>
      </c>
      <c r="V15" s="158" t="str">
        <f>IF(U15="error","error",IF(SUM(D19)*SUM(E19)&gt;0,IF(SUM(E17)&gt;0,D17*E19/E17/D19,IF(SUM(D17)&gt;0,"infinity","indet.")),""))</f>
        <v/>
      </c>
      <c r="W15" s="169" t="str">
        <f>IF(U15&lt;&gt;"error",IF(D17&gt;0,D17,""),"")</f>
        <v/>
      </c>
      <c r="X15" s="159" t="str">
        <f>IF(U15&lt;&gt;"error",IF(SUM(F19)&gt;0,F17*D19/F19,""),"")</f>
        <v/>
      </c>
      <c r="Y15" s="158" t="str">
        <f>IF(U15&lt;&gt;"error",IF(SUM(F19)&gt;1,SUM(F17)*SUM(F18)*SUM(D19)*SUM(E19)/F19^3,""),"")</f>
        <v/>
      </c>
      <c r="Z15" s="169" t="str">
        <f>IF(U15&lt;&gt;"error",IF(SUM(F19)&gt;0,D17*E19/F19,""),"")</f>
        <v/>
      </c>
      <c r="AA15" s="159" t="str">
        <f>IF(U15&lt;&gt;"error",IF(SUM(F19)&gt;0,E17*D19/F19,""),"")</f>
        <v/>
      </c>
      <c r="AB15" s="159" t="str">
        <f>IF(U15&lt;&gt;"error",IF(SUM(Y15)&gt;0,(F17*D19*E19)/F19^2 - D17*E17/F19,""),"")</f>
        <v/>
      </c>
      <c r="AC15" s="159" t="str">
        <f>IF(SUM(E17)*SUM(D18)*SUM(E18)*SUM(D17)&gt;0,LN(D17*E19/E17/D19),"")</f>
        <v/>
      </c>
      <c r="AD15" s="159" t="str">
        <f>IF(SUM(E17)*SUM(D18)*SUM(E18)*SUM(D17)&gt;0,1/D17 - 1/D19 +1/E17 -1/E19,"")</f>
        <v/>
      </c>
      <c r="AE15" s="158" t="str">
        <f xml:space="preserve"> IF(SUM(E17)*SUM(D18)*SUM(E18)*SUM(D17)&gt;0, ((AC15 - LN($J$25)))^2/AD15,"")</f>
        <v/>
      </c>
      <c r="AF15" s="159" t="str">
        <f>IF(SUM(F19)&gt;0, ((D17*D18*E19^2)/(F19^2*(D19-1)))+((E17*E18*D19^2)/(F19^2*(E19-1))),"")</f>
        <v/>
      </c>
      <c r="AG15" s="159" t="str">
        <f>IF(SUM(F19)&gt;0,D19*E19/F19,"")</f>
        <v/>
      </c>
      <c r="AH15" s="159" t="str">
        <f>IF(SUM(E17)*SUM(D18)*SUM(E18)*SUM(D17)&gt;0, D17*D18/D19^3 + E17*E18/E19^3,"")</f>
        <v/>
      </c>
      <c r="AI15" s="159" t="str">
        <f>AG15</f>
        <v/>
      </c>
      <c r="AJ15" s="170" t="str">
        <f t="shared" si="0"/>
        <v/>
      </c>
      <c r="AK15" s="158" t="str">
        <f xml:space="preserve"> IF(SUM(E17)*SUM(D18)*SUM(E18)*SUM(D17)&gt;0, ((U15 - $J$34))^2/AH15,"")</f>
        <v/>
      </c>
    </row>
    <row r="16" spans="1:38" x14ac:dyDescent="0.15">
      <c r="A16" s="10"/>
      <c r="D16" s="17" t="str">
        <f>IF(U11&lt;&gt;"","CID=","")</f>
        <v/>
      </c>
      <c r="E16" s="213" t="str">
        <f>U11</f>
        <v/>
      </c>
      <c r="F16" s="213"/>
      <c r="G16" s="18"/>
      <c r="H16" s="17" t="str">
        <f>IF(U12&lt;&gt;"","CID=","")</f>
        <v/>
      </c>
      <c r="I16" s="213" t="str">
        <f>U12</f>
        <v/>
      </c>
      <c r="J16" s="213"/>
      <c r="K16" s="18"/>
      <c r="L16" s="17" t="str">
        <f>IF(U13&lt;&gt;"","CID=","")</f>
        <v/>
      </c>
      <c r="M16" s="213" t="str">
        <f>U13</f>
        <v/>
      </c>
      <c r="N16" s="213"/>
      <c r="O16" s="18"/>
      <c r="P16" s="17" t="str">
        <f>IF(U14&lt;&gt;"","CID=","")</f>
        <v/>
      </c>
      <c r="Q16" s="213" t="str">
        <f>U14</f>
        <v/>
      </c>
      <c r="R16" s="214"/>
      <c r="T16" s="168">
        <v>10</v>
      </c>
      <c r="U16" s="169" t="str">
        <f xml:space="preserve"> IF( OR(H19="", I19 = ""),"", IF(H17&lt;=H19,   IF(I17&lt;=I19,  (IF(SUM(H19)*SUM(I19)&gt;0,H17/H19 - I17/I19,"")),"error"),"error"))</f>
        <v/>
      </c>
      <c r="V16" s="158" t="str">
        <f>IF(U16="error","error",IF(SUM(H19)*SUM(I19)&gt;0,IF(SUM(I17)&gt;0,H17*I19/I17/H19,IF(SUM(H17)&gt;0,"infinity","indet.")),""))</f>
        <v/>
      </c>
      <c r="W16" s="169" t="str">
        <f>IF(U16&lt;&gt;"error",IF(H17&gt;0,H17,""),"")</f>
        <v/>
      </c>
      <c r="X16" s="159" t="str">
        <f>IF(U16&lt;&gt;"error",IF(SUM(J19)&gt;0,J17*H19/J19,""),"")</f>
        <v/>
      </c>
      <c r="Y16" s="158" t="str">
        <f>IF(U16&lt;&gt;"error",IF(SUM(J19)&gt;1,SUM(J17)*SUM(J18)*SUM(H19)*SUM(I19)/J19^3,""),"")</f>
        <v/>
      </c>
      <c r="Z16" s="169" t="str">
        <f>IF(U16&lt;&gt;"error",IF(SUM(J19)&gt;0,H17*I19/J19,""),"")</f>
        <v/>
      </c>
      <c r="AA16" s="159" t="str">
        <f>IF(U16&lt;&gt;"error",IF(SUM(J19)&gt;0,I17*H19/J19,""),"")</f>
        <v/>
      </c>
      <c r="AB16" s="159" t="str">
        <f>IF(U16&lt;&gt;"error",IF(SUM(Y16)&gt;0,(J17*H19*I19)/J19^2 - H17*I17/J19,""),"")</f>
        <v/>
      </c>
      <c r="AC16" s="159" t="str">
        <f>IF(SUM(I17)*SUM(H18)*SUM(I18)*SUM(H17)&gt;0,LN(H17*I19/H19/I17),"")</f>
        <v/>
      </c>
      <c r="AD16" s="159" t="str">
        <f>IF(SUM(I17)*SUM(H18)*SUM(I18)*SUM(H17)&gt;0,1/H17 - 1/H19 +1/I17 -1/I19,"")</f>
        <v/>
      </c>
      <c r="AE16" s="158" t="str">
        <f xml:space="preserve"> IF(SUM(I17)*SUM(H18)*SUM(I18)*SUM(H17)&gt;0, ((AC16 - LN($J$25)))^2/AD16,"")</f>
        <v/>
      </c>
      <c r="AF16" s="159" t="str">
        <f>IF(SUM(J19)&gt;0,((H17*H18*I19^2)/(J19^2*(H19-1)))+((I17*I18*H19^2)/(J19^2*(I19-1))),"")</f>
        <v/>
      </c>
      <c r="AG16" s="159" t="str">
        <f>IF(SUM(J19)&gt;0,H19*I19/J19,"")</f>
        <v/>
      </c>
      <c r="AH16" s="159" t="str">
        <f>IF(SUM(I17)*SUM(H18)*SUM(I18)*SUM(H17)&gt;0, H17*H18/H19^3 + I17*I18/I19^3,"")</f>
        <v/>
      </c>
      <c r="AI16" s="159" t="str">
        <f t="shared" si="1"/>
        <v/>
      </c>
      <c r="AJ16" s="170" t="str">
        <f t="shared" si="0"/>
        <v/>
      </c>
      <c r="AK16" s="158" t="str">
        <f xml:space="preserve"> IF(SUM(I17)*SUM(H18)*SUM(I18)*SUM(H17)&gt;0, ((U16 - $J$34))^2/AH16,"")</f>
        <v/>
      </c>
    </row>
    <row r="17" spans="1:37" x14ac:dyDescent="0.15">
      <c r="A17" s="10" t="s">
        <v>36</v>
      </c>
      <c r="D17" s="11"/>
      <c r="E17" s="11"/>
      <c r="F17" s="12" t="str">
        <f>IF(AND(D17="",E17=""),"",SUM(D17,E17))</f>
        <v/>
      </c>
      <c r="H17" s="11"/>
      <c r="I17" s="11"/>
      <c r="J17" s="12" t="str">
        <f>IF(AND(H17="",I17=""),"",SUM(H17,I17))</f>
        <v/>
      </c>
      <c r="L17" s="11"/>
      <c r="M17" s="11"/>
      <c r="N17" s="12" t="str">
        <f>IF(AND(L17="",M17=""),"",SUM(L17,M17))</f>
        <v/>
      </c>
      <c r="P17" s="11"/>
      <c r="Q17" s="11"/>
      <c r="R17" s="13" t="str">
        <f>IF(AND(P17="",Q17=""),"",SUM(P17,Q17))</f>
        <v/>
      </c>
      <c r="T17" s="168">
        <v>11</v>
      </c>
      <c r="U17" s="169" t="str">
        <f xml:space="preserve"> IF( OR(L19="", M19 = ""),"", IF(L17&lt;=L19,   IF(M17&lt;=M19,  (IF(SUM(L19)*SUM(M19)&gt;0,L17/L19 - M17/M19,"")),"error"),"error"))</f>
        <v/>
      </c>
      <c r="V17" s="158" t="str">
        <f>IF(U17="error","error",IF(SUM(L19)*SUM(M19)&gt;0,IF(SUM(M17)&gt;0,L17*M19/L19/M17,IF(SUM(L17)&gt;0,"infinity","indet.")),""))</f>
        <v/>
      </c>
      <c r="W17" s="169" t="str">
        <f>IF(U17&lt;&gt;"error",IF(L17&gt;0,L17,""),"")</f>
        <v/>
      </c>
      <c r="X17" s="159" t="str">
        <f>IF(U17&lt;&gt;"error",IF(SUM(N19)&gt;0,N17*L19/N19,""),"")</f>
        <v/>
      </c>
      <c r="Y17" s="158" t="str">
        <f>IF(U17&lt;&gt;"error",IF(SUM(N19)&gt;1,SUM(N17)*SUM(N18)*SUM(L19)*SUM(M19)/N19^3,""),"")</f>
        <v/>
      </c>
      <c r="Z17" s="169" t="str">
        <f>IF(U17&lt;&gt;"error",IF(SUM(N19)&gt;0,L17*M19/N19,""),"")</f>
        <v/>
      </c>
      <c r="AA17" s="159" t="str">
        <f>IF(U17&lt;&gt;"error",IF(SUM(N19)&gt;0,M17*L19/N19,""),"")</f>
        <v/>
      </c>
      <c r="AB17" s="159" t="str">
        <f>IF(U17&lt;&gt;"error",IF(SUM(Y17)&gt;0,(N17*L19*M19)/N19^2 - L17*M17/N19,""),"")</f>
        <v/>
      </c>
      <c r="AC17" s="159" t="str">
        <f>IF(SUM(L17)*SUM(L18)*SUM(M17)*SUM(M18)&gt;0,LN(L17*M19/L19/M17),"")</f>
        <v/>
      </c>
      <c r="AD17" s="159" t="str">
        <f>IF(SUM(L17)*SUM(L18)*SUM(M17)*SUM(M18)&gt;0,1/L17 - 1/L19 +1/M17 -1/M19,"")</f>
        <v/>
      </c>
      <c r="AE17" s="158" t="str">
        <f xml:space="preserve"> IF(SUM(L17)*SUM(L18)*SUM(M17)*SUM(M18),((AC17 - LN($J$25)))^2/AD17,"")</f>
        <v/>
      </c>
      <c r="AF17" s="159" t="str">
        <f>IF(SUM(N19)&gt;0,((L17*L18*M19^2)/(N19^2*(L19-1)))+((M17*M18*L19^2)/(N19^2*(M19-1))),"")</f>
        <v/>
      </c>
      <c r="AG17" s="159" t="str">
        <f>IF(SUM(N19)&gt;0,L19*M19/N19,"")</f>
        <v/>
      </c>
      <c r="AH17" s="159" t="str">
        <f>IF(SUM(L17)*SUM(L18)*SUM(M18)*SUM(M17)&gt;0, L17*L18/L19^3 + M17*M18/M19^3,"")</f>
        <v/>
      </c>
      <c r="AI17" s="159" t="str">
        <f t="shared" si="1"/>
        <v/>
      </c>
      <c r="AJ17" s="170" t="str">
        <f t="shared" si="0"/>
        <v/>
      </c>
      <c r="AK17" s="158" t="str">
        <f>IF(SUM(L17)*SUM(L18)*SUM(M17)*SUM(M18)&gt;0, ((U17 - $J$34))^2/AH17,"")</f>
        <v/>
      </c>
    </row>
    <row r="18" spans="1:37" x14ac:dyDescent="0.15">
      <c r="A18" s="10" t="s">
        <v>37</v>
      </c>
      <c r="D18" s="12" t="str">
        <f>IF(SUM(D19)=0,"",IF(SUM(D19)&gt;=SUM(D17),D19-D17,"ERR"))</f>
        <v/>
      </c>
      <c r="E18" s="12" t="str">
        <f>IF(SUM(E19)=0,"",IF(SUM(E19)&gt;=SUM(E17),E19-E17,"ERR"))</f>
        <v/>
      </c>
      <c r="F18" s="12" t="str">
        <f>IF(AND(D18="",E18=""),"",SUM(D18,E18))</f>
        <v/>
      </c>
      <c r="H18" s="12" t="str">
        <f>IF(SUM(H19)=0,"",IF(SUM(H19)&gt;=SUM(H17),H19-H17,"ERR"))</f>
        <v/>
      </c>
      <c r="I18" s="12" t="str">
        <f>IF(SUM(I19)=0,"",IF(SUM(I19)&gt;=SUM(I17),I19-I17,"ERR"))</f>
        <v/>
      </c>
      <c r="J18" s="12" t="str">
        <f>IF(AND(H18="",I18=""),"",SUM(H18,I18))</f>
        <v/>
      </c>
      <c r="L18" s="12" t="str">
        <f>IF(SUM(L19)=0,"",IF(SUM(L19)&gt;=SUM(L17),L19-L17,"ERR"))</f>
        <v/>
      </c>
      <c r="M18" s="12" t="str">
        <f>IF(SUM(M19)=0,"",IF(SUM(M19)&gt;=SUM(M17),M19-M17,"ERR"))</f>
        <v/>
      </c>
      <c r="N18" s="12" t="str">
        <f>IF(AND(L18="",M18=""),"",SUM(L18,M18))</f>
        <v/>
      </c>
      <c r="P18" s="12" t="str">
        <f>IF(SUM(P19)=0,"",IF(SUM(P19)&gt;=SUM(P17),P19-P17,"ERR"))</f>
        <v/>
      </c>
      <c r="Q18" s="12" t="str">
        <f>IF(SUM(Q19)=0,"",IF(SUM(Q19)&gt;=SUM(Q17),Q19-Q17,"ERR"))</f>
        <v/>
      </c>
      <c r="R18" s="13" t="str">
        <f>IF(AND(P18="",Q18=""),"",SUM(P18,Q18))</f>
        <v/>
      </c>
      <c r="T18" s="168">
        <v>12</v>
      </c>
      <c r="U18" s="171" t="str">
        <f xml:space="preserve"> IF( OR(P19="", Q19 = ""),"", IF(P17&lt;=P19,   IF(Q17&lt;=Q19,  (IF(SUM(P19)*SUM(Q19)&gt;0,P17/P19 - Q17/Q19,"")),"error"),"error"))</f>
        <v/>
      </c>
      <c r="V18" s="172" t="str">
        <f>IF(U18="error","error",IF(SUM(P19)*SUM(Q19)&gt;0,IF(SUM(Q17)&gt;0,P17*Q19/Q17/P19,IF(SUM(P17)&gt;0,"infinity","indet.")),""))</f>
        <v/>
      </c>
      <c r="W18" s="171" t="str">
        <f>IF(U18&lt;&gt;"error",IF(P17&gt;0,P17,""),"")</f>
        <v/>
      </c>
      <c r="X18" s="173" t="str">
        <f>IF(U18&lt;&gt;"error",IF(SUM(R19)&gt;0,R17*P19/R19,""),"")</f>
        <v/>
      </c>
      <c r="Y18" s="172" t="str">
        <f>IF(U18&lt;&gt;"error",IF(SUM(R19)&gt;1,SUM(R17)*SUM(R18)*SUM(P19)*SUM(Q19)/R19^3,""),"")</f>
        <v/>
      </c>
      <c r="Z18" s="171" t="str">
        <f>IF(U18&lt;&gt;"error",IF(SUM(R19)&gt;0,P17*Q19/R19,""),"")</f>
        <v/>
      </c>
      <c r="AA18" s="173" t="str">
        <f>IF(U18&lt;&gt;"error",IF(SUM(R19)&gt;0,Q17*P19/R19,""),"")</f>
        <v/>
      </c>
      <c r="AB18" s="173" t="str">
        <f>IF(U18&lt;&gt;"error",IF(SUM(Y18)&gt;0,(R17*P19*Q19)/R19^2 - P17*Q17/R19,""),"")</f>
        <v/>
      </c>
      <c r="AC18" s="173" t="str">
        <f>IF(SUM(P17)*SUM(Q18)*SUM(P18)*SUM(Q17)&gt;0,LN(P17*Q19/P19/Q17),"")</f>
        <v/>
      </c>
      <c r="AD18" s="173" t="str">
        <f>IF(SUM(P17)*SUM(Q18)*SUM(P18)*SUM(Q17)&gt;0,1/P17 - 1/P19 +1/Q17 -1/Q19,"")</f>
        <v/>
      </c>
      <c r="AE18" s="173" t="str">
        <f xml:space="preserve"> IF(SUM(P17)*SUM(Q18)*SUM(P18)*SUM(Q17)&gt;0, ((AC18 - LN($J$25)))^2/AD18, "")</f>
        <v/>
      </c>
      <c r="AF18" s="171" t="str">
        <f>IF(SUM(R19)&gt;0,((P17*P18*Q19^2)/(R19^2*(P19-1)))+((Q17*Q18*P19^2)/(R19^2*(Q19-1))),"")</f>
        <v/>
      </c>
      <c r="AG18" s="173" t="str">
        <f>IF(SUM(R19)&gt;0,P19*Q19/R19,"")</f>
        <v/>
      </c>
      <c r="AH18" s="173" t="str">
        <f>IF(SUM(P17)*SUM(Q18)*SUM(P18)*SUM(Q17)&gt;0, P17*P18/P19^3 + Q17*Q18/Q19^3,"")</f>
        <v/>
      </c>
      <c r="AI18" s="173" t="str">
        <f t="shared" si="1"/>
        <v/>
      </c>
      <c r="AJ18" s="174" t="str">
        <f t="shared" si="0"/>
        <v/>
      </c>
      <c r="AK18" s="172" t="str">
        <f>IF(SUM(P17)*SUM(Q18)*SUM(P18)*SUM(Q17)&gt;0, ((U18 - $J$34))^2/AH18,"")</f>
        <v/>
      </c>
    </row>
    <row r="19" spans="1:37" x14ac:dyDescent="0.15">
      <c r="A19" s="10" t="s">
        <v>18</v>
      </c>
      <c r="D19" s="11"/>
      <c r="E19" s="11"/>
      <c r="F19" s="15" t="str">
        <f>IF(SUM(D19,E19)=0,"",SUM(D19,E19))</f>
        <v/>
      </c>
      <c r="H19" s="11"/>
      <c r="I19" s="11"/>
      <c r="J19" s="15" t="str">
        <f>IF(SUM(H19,I19)=0,"",SUM(H19,I19))</f>
        <v/>
      </c>
      <c r="L19" s="11"/>
      <c r="M19" s="11"/>
      <c r="N19" s="15" t="str">
        <f>IF(SUM(L19,M19)=0,"",SUM(L19,M19))</f>
        <v/>
      </c>
      <c r="P19" s="11"/>
      <c r="Q19" s="11"/>
      <c r="R19" s="16" t="str">
        <f>IF(SUM(P19,Q19)=0,"",SUM(P19,Q19))</f>
        <v/>
      </c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70" t="str">
        <f t="shared" si="0"/>
        <v/>
      </c>
      <c r="AK19" s="159"/>
    </row>
    <row r="20" spans="1:37" x14ac:dyDescent="0.15">
      <c r="A20" s="10"/>
      <c r="D20" s="17" t="str">
        <f>IF(V15&lt;&gt;"","CIR=","")</f>
        <v/>
      </c>
      <c r="E20" s="195" t="str">
        <f>V15</f>
        <v/>
      </c>
      <c r="F20" s="195"/>
      <c r="G20" s="18"/>
      <c r="H20" s="17" t="str">
        <f>IF(V16&lt;&gt;"","CIR=","")</f>
        <v/>
      </c>
      <c r="I20" s="195" t="str">
        <f>V16</f>
        <v/>
      </c>
      <c r="J20" s="195"/>
      <c r="K20" s="18"/>
      <c r="L20" s="17" t="str">
        <f>IF(V17&lt;&gt;"","CIR=","")</f>
        <v/>
      </c>
      <c r="M20" s="195" t="str">
        <f>V17</f>
        <v/>
      </c>
      <c r="N20" s="195"/>
      <c r="O20" s="18"/>
      <c r="P20" s="17" t="str">
        <f>IF(V18&lt;&gt;"","CIR=","")</f>
        <v/>
      </c>
      <c r="Q20" s="195" t="str">
        <f>V18</f>
        <v/>
      </c>
      <c r="R20" s="196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</row>
    <row r="21" spans="1:37" ht="14" thickBot="1" x14ac:dyDescent="0.2">
      <c r="A21" s="19"/>
      <c r="B21" s="20"/>
      <c r="C21" s="20"/>
      <c r="D21" s="21" t="str">
        <f>IF(U15&lt;&gt;"","CID=","")</f>
        <v/>
      </c>
      <c r="E21" s="211" t="str">
        <f>U15</f>
        <v/>
      </c>
      <c r="F21" s="211"/>
      <c r="G21" s="22"/>
      <c r="H21" s="21" t="str">
        <f>IF(U16&lt;&gt;"","CID=","")</f>
        <v/>
      </c>
      <c r="I21" s="211" t="str">
        <f>U16</f>
        <v/>
      </c>
      <c r="J21" s="211"/>
      <c r="K21" s="22"/>
      <c r="L21" s="21" t="str">
        <f>IF(U17&lt;&gt;"","CID=","")</f>
        <v/>
      </c>
      <c r="M21" s="211" t="str">
        <f>U17</f>
        <v/>
      </c>
      <c r="N21" s="211"/>
      <c r="O21" s="22"/>
      <c r="P21" s="21" t="str">
        <f>IF(U18&lt;&gt;"","CID=","")</f>
        <v/>
      </c>
      <c r="Q21" s="211" t="str">
        <f>U18</f>
        <v/>
      </c>
      <c r="R21" s="212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</row>
    <row r="22" spans="1:37" ht="15" thickTop="1" thickBot="1" x14ac:dyDescent="0.2">
      <c r="D22" s="23"/>
      <c r="E22" s="24"/>
      <c r="F22" s="24"/>
      <c r="H22" s="23"/>
      <c r="I22" s="24"/>
      <c r="J22" s="24"/>
      <c r="L22" s="23"/>
      <c r="M22" s="24"/>
      <c r="N22" s="24"/>
      <c r="P22" s="23"/>
      <c r="Q22" s="24"/>
      <c r="R22" s="24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</row>
    <row r="23" spans="1:37" ht="14" thickTop="1" x14ac:dyDescent="0.15">
      <c r="A23" s="208" t="s">
        <v>38</v>
      </c>
      <c r="B23" s="209"/>
      <c r="C23" s="209"/>
      <c r="D23" s="209"/>
      <c r="E23" s="209"/>
      <c r="F23" s="210"/>
      <c r="H23" s="88" t="s">
        <v>39</v>
      </c>
      <c r="I23" s="81"/>
      <c r="J23" s="81"/>
      <c r="K23" s="82"/>
      <c r="L23" s="82"/>
      <c r="M23" s="81"/>
      <c r="N23" s="77"/>
      <c r="O23" s="83"/>
      <c r="P23" s="23"/>
      <c r="Q23" s="24"/>
      <c r="R23" s="24"/>
      <c r="T23" s="159" t="s">
        <v>40</v>
      </c>
      <c r="U23" s="159"/>
      <c r="V23" s="159"/>
      <c r="W23" s="159">
        <f t="shared" ref="W23:AB23" si="2">IF(SUM(W7:W18)&gt;0,SUM(W7:W18),"")</f>
        <v>1021</v>
      </c>
      <c r="X23" s="159">
        <f t="shared" si="2"/>
        <v>951.28819099287307</v>
      </c>
      <c r="Y23" s="159">
        <f t="shared" si="2"/>
        <v>85.403038928718985</v>
      </c>
      <c r="Z23" s="159">
        <f t="shared" si="2"/>
        <v>131.86673734332655</v>
      </c>
      <c r="AA23" s="159">
        <f t="shared" si="2"/>
        <v>62.154928336199717</v>
      </c>
      <c r="AB23" s="159">
        <f t="shared" si="2"/>
        <v>102.11967795425124</v>
      </c>
      <c r="AC23" s="159"/>
      <c r="AD23" s="159"/>
      <c r="AE23" s="159">
        <f>IF(AE24&gt;0,SUM(AE7:AE18),"")</f>
        <v>6.976583097807916E-2</v>
      </c>
      <c r="AF23" s="159">
        <f>SUM(AF7:AF18)</f>
        <v>58.142598753842414</v>
      </c>
      <c r="AG23" s="159">
        <f>SUM(AG7:AG18)</f>
        <v>439.46075954944928</v>
      </c>
      <c r="AH23" s="159"/>
      <c r="AI23" s="159">
        <f>SUM(AI7:AI18)</f>
        <v>439.46075954944928</v>
      </c>
      <c r="AJ23" s="159">
        <f>SUM(AJ7:AJ18)</f>
        <v>69.711809007126845</v>
      </c>
      <c r="AK23" s="159">
        <f>IF(SUM(AK7:AK18)&gt;0,SUM(AK7:AK18),"")</f>
        <v>3.5378868758245732</v>
      </c>
    </row>
    <row r="24" spans="1:37" x14ac:dyDescent="0.15">
      <c r="A24" s="91"/>
      <c r="B24" s="8"/>
      <c r="C24" s="8"/>
      <c r="D24" s="8" t="s">
        <v>16</v>
      </c>
      <c r="E24" s="8" t="s">
        <v>41</v>
      </c>
      <c r="F24" s="92"/>
      <c r="G24" s="93"/>
      <c r="H24" s="23"/>
      <c r="I24" s="24"/>
      <c r="J24" s="24"/>
      <c r="L24" s="23"/>
      <c r="M24" s="24"/>
      <c r="N24" s="24"/>
      <c r="O24" s="79"/>
      <c r="P24" s="23"/>
      <c r="Q24" s="24"/>
      <c r="R24" s="24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 t="s">
        <v>42</v>
      </c>
      <c r="AE24" s="159">
        <f xml:space="preserve"> 11 - COUNTIF(AE7:AE18,"")</f>
        <v>1</v>
      </c>
      <c r="AF24" s="159"/>
      <c r="AG24" s="159"/>
      <c r="AH24" s="159"/>
      <c r="AI24" s="159"/>
      <c r="AJ24" s="159"/>
      <c r="AK24" s="159"/>
    </row>
    <row r="25" spans="1:37" x14ac:dyDescent="0.15">
      <c r="A25" s="25" t="s">
        <v>36</v>
      </c>
      <c r="D25" s="26">
        <f>IF(SUM(D7,H7,L7,P7,D12,H12,L12,P12,D17,H17,L17,P17)&gt;0,SUM(D7,H7,L7,P7,D12,H12,L12,P12,D17,H17,L17,P17),"")</f>
        <v>1021</v>
      </c>
      <c r="E25" s="26">
        <f>IF(SUM(E7,I7,M7,Q7,E12,I12,M12,Q12,E17,I17,M17,Q17)&gt;0,SUM(E7,I7,M7,Q7,E12,I12,M12,Q12,E17,I17,M17,Q17),"")</f>
        <v>72</v>
      </c>
      <c r="F25" s="27">
        <f>IF(SUM(D25,E25)=0,"",SUM(D25,E25))</f>
        <v>1093</v>
      </c>
      <c r="G25" s="93"/>
      <c r="H25" s="193" t="s">
        <v>43</v>
      </c>
      <c r="I25" s="193"/>
      <c r="J25" s="194">
        <f>IF(SUM(Y23)&gt;0,IF(SUM(AA23)&gt;0,SUM(Z23)/AA23,"infinity"),"")</f>
        <v>2.1215813592455852</v>
      </c>
      <c r="K25" s="194"/>
      <c r="L25" s="194"/>
      <c r="O25" s="73"/>
      <c r="T25" s="159" t="s">
        <v>44</v>
      </c>
      <c r="U25" s="159"/>
      <c r="V25" s="159"/>
      <c r="W25" s="159"/>
      <c r="X25" s="159"/>
      <c r="Y25" s="200">
        <f>IF(SUM(Y23)&gt;0,(SUM(W23)-X23)/SQRT(Y23),"")</f>
        <v>7.543444343720938</v>
      </c>
      <c r="Z25" s="200"/>
      <c r="AA25" s="200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</row>
    <row r="26" spans="1:37" ht="13.5" customHeight="1" x14ac:dyDescent="0.15">
      <c r="A26" s="25" t="s">
        <v>37</v>
      </c>
      <c r="D26" s="26">
        <f>IF(SUM(D8,H8,L8,P8,D13,H13,L13,P13,D18,H18,L18,P18)&gt;0,SUM(D8,H8,L8,P8,D13,H13,L13,P13,D18,H18,L18,P18),"")</f>
        <v>2178</v>
      </c>
      <c r="E26" s="26">
        <f>IF(SUM(E8,I8,M8,Q8,E13,I13,M13,Q13,E18,I18,M18,Q18)&gt;0,SUM(E8,I8,M8,Q8,E13,I13,M13,Q13,E18,I18,M18,Q18),"")</f>
        <v>441</v>
      </c>
      <c r="F26" s="27">
        <f>IF(SUM(D26,E26)=0,"",SUM(D26,E26))</f>
        <v>2619</v>
      </c>
      <c r="G26" s="93"/>
      <c r="H26" s="191" t="s">
        <v>45</v>
      </c>
      <c r="I26" s="191"/>
      <c r="J26" s="191"/>
      <c r="K26" s="205">
        <f>IF(SUM($AA$23)&gt;0,IF(SUM($J$25)=0,"",EXP(LN($J$25)-1.645*SQRT($Y$26))),"")</f>
        <v>1.7656938952856736</v>
      </c>
      <c r="L26" s="205"/>
      <c r="M26" s="205">
        <f>IF(SUM($AA$23)&gt;0,IF(SUM($J$25)=0,"",EXP(LN($J$25)+1.645*SQRT($Y$26))),"")</f>
        <v>2.5492003319013037</v>
      </c>
      <c r="N26" s="205"/>
      <c r="O26" s="85"/>
      <c r="T26" s="175" t="s">
        <v>46</v>
      </c>
      <c r="U26" s="175"/>
      <c r="V26" s="159"/>
      <c r="W26" s="159"/>
      <c r="X26" s="159"/>
      <c r="Y26" s="200">
        <f>IF(SUM(AA23)*SUM(Z23)&gt;0,SUM(AB23)/(SUM(Z23)*SUM(AA23)),"")</f>
        <v>1.2459442366191975E-2</v>
      </c>
      <c r="Z26" s="200"/>
      <c r="AA26" s="200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</row>
    <row r="27" spans="1:37" x14ac:dyDescent="0.15">
      <c r="A27" s="25" t="s">
        <v>18</v>
      </c>
      <c r="D27" s="41">
        <f>IF(SUM(D25,D26)=0,"",SUM(D25,D26))</f>
        <v>3199</v>
      </c>
      <c r="E27" s="41">
        <f>IF(SUM(E25,E26)=0,"",SUM(E25,E26))</f>
        <v>513</v>
      </c>
      <c r="F27" s="29">
        <f>IF(SUM(D27,E27)=0,"",SUM(D27,E27))</f>
        <v>3712</v>
      </c>
      <c r="G27" s="93"/>
      <c r="H27" s="206" t="s">
        <v>47</v>
      </c>
      <c r="I27" s="206"/>
      <c r="J27" s="206"/>
      <c r="K27" s="194">
        <f>IF(SUM($AA$23)&gt;0,IF(SUM($J$25)=0,"",EXP(LN($J$25)-1.96*SQRT($Y$26))),"")</f>
        <v>1.7046892996222027</v>
      </c>
      <c r="L27" s="194"/>
      <c r="M27" s="194">
        <f>IF(SUM($AA$23)&gt;0,IF(SUM($J$25)=0,"",EXP(LN($J$25)+1.96*SQRT($Y$26))),"")</f>
        <v>2.640426888874055</v>
      </c>
      <c r="N27" s="194"/>
      <c r="O27" s="86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</row>
    <row r="28" spans="1:37" x14ac:dyDescent="0.15">
      <c r="A28" s="25"/>
      <c r="F28" s="28"/>
      <c r="G28" s="93"/>
      <c r="H28" s="191" t="s">
        <v>48</v>
      </c>
      <c r="I28" s="191"/>
      <c r="J28" s="191"/>
      <c r="K28" s="205">
        <f>IF(SUM($AA$23)&gt;0,IF(SUM($J$25)=0,"",EXP(LN($J$25)-2.575*SQRT($Y$26))),"")</f>
        <v>1.5915930195129935</v>
      </c>
      <c r="L28" s="205"/>
      <c r="M28" s="205">
        <f>IF(SUM($AA$23)&gt;0,IF(SUM($J$25)=0,"",EXP(LN($J$25)+2.575*SQRT($Y$26))),"")</f>
        <v>2.8280517749918408</v>
      </c>
      <c r="N28" s="205"/>
      <c r="O28" s="85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</row>
    <row r="29" spans="1:37" x14ac:dyDescent="0.15">
      <c r="A29" s="193" t="s">
        <v>49</v>
      </c>
      <c r="B29" s="193"/>
      <c r="C29" s="32"/>
      <c r="D29" s="194">
        <f>IF(SUM(Y23)&gt;0,IF(SUM(E25)*SUM(D26)&gt;0,SUM(D25)*SUM(E27)/E25/D27,"infinity"),"")</f>
        <v>2.2740309471709907</v>
      </c>
      <c r="E29" s="194"/>
      <c r="G29" s="93"/>
      <c r="H29" s="24"/>
      <c r="I29" s="24"/>
      <c r="J29" s="24"/>
      <c r="K29" s="96"/>
      <c r="L29" s="96"/>
      <c r="M29" s="96"/>
      <c r="N29" s="96"/>
      <c r="O29" s="85"/>
      <c r="T29" s="175"/>
      <c r="U29" s="175"/>
      <c r="V29" s="159"/>
      <c r="W29" s="159"/>
      <c r="X29" s="159"/>
      <c r="Y29" s="200"/>
      <c r="Z29" s="200"/>
      <c r="AA29" s="200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</row>
    <row r="30" spans="1:37" ht="14" thickBot="1" x14ac:dyDescent="0.2">
      <c r="A30" s="191" t="s">
        <v>45</v>
      </c>
      <c r="B30" s="191"/>
      <c r="C30" s="24"/>
      <c r="D30" s="72">
        <f>IF($D$29&lt;&gt;"",EXP(LN($D$29)-1.645*SQRT($D$26/($D$25*$D$27)+$E$26/($E$25*$E$27))),"")</f>
        <v>1.8905282423766392</v>
      </c>
      <c r="E30" s="72">
        <f>IF($D$29&lt;&gt;"",EXP(LN($D$29)+1.645*SQRT($D$26/($D$25*$D$27)+$E$26/($E$25*$E$27))),"")</f>
        <v>2.7353290116367175</v>
      </c>
      <c r="F30" s="79"/>
      <c r="H30" s="216" t="str">
        <f>IF(SUM(AE24)&gt;0,"P-value for homogeneity:","")</f>
        <v>P-value for homogeneity:</v>
      </c>
      <c r="I30" s="217"/>
      <c r="J30" s="217"/>
      <c r="K30" s="101"/>
      <c r="L30" s="101"/>
      <c r="M30" s="199">
        <f xml:space="preserve"> IF(SUM(AE24)&gt;0,CHIDIST(AE23,AE24),"")</f>
        <v>0.79167803530049075</v>
      </c>
      <c r="N30" s="199"/>
      <c r="O30" s="87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</row>
    <row r="31" spans="1:37" ht="15" thickTop="1" thickBot="1" x14ac:dyDescent="0.2">
      <c r="A31" s="206" t="s">
        <v>47</v>
      </c>
      <c r="B31" s="206"/>
      <c r="C31" s="24"/>
      <c r="D31" s="65">
        <f>IF($D$29&lt;&gt;"",EXP(LN($D$29)-1.96*SQRT($D$26/($D$25*$D$27)+$E$26/($E$25*$E$27))),"")</f>
        <v>1.8248332894839732</v>
      </c>
      <c r="E31" s="65">
        <f>IF($D$29&lt;&gt;"",EXP(LN($D$29)+1.96*SQRT($D$26/($D$25*$D$27)+$E$26/($E$25*$E$27))),"")</f>
        <v>2.8338022867577739</v>
      </c>
      <c r="F31" s="7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</row>
    <row r="32" spans="1:37" ht="16" thickTop="1" x14ac:dyDescent="0.2">
      <c r="A32" s="191" t="s">
        <v>48</v>
      </c>
      <c r="B32" s="191"/>
      <c r="C32" s="24"/>
      <c r="D32" s="72">
        <f>IF($D$29&lt;&gt;"",EXP(LN($D$29)-2.575*SQRT($D$26/($D$25*$D$27)+$E$26/($E$25*$E$27))),"")</f>
        <v>1.7030785259249721</v>
      </c>
      <c r="E32" s="72">
        <f>IF($D$29&lt;&gt;"",EXP(LN($D$29)+2.575*SQRT($D$26/($D$25*$D$27)+$E$26/($E$25*$E$27))),"")</f>
        <v>3.0363936072077555</v>
      </c>
      <c r="G32" s="93"/>
      <c r="H32" s="88" t="s">
        <v>50</v>
      </c>
      <c r="I32" s="78"/>
      <c r="J32" s="78"/>
      <c r="K32" s="78"/>
      <c r="L32" s="78"/>
      <c r="M32" s="78"/>
      <c r="N32" s="78"/>
      <c r="O32" s="83"/>
      <c r="T32" s="170" t="s">
        <v>51</v>
      </c>
      <c r="U32" s="159"/>
      <c r="V32" s="159"/>
      <c r="W32" s="159"/>
      <c r="X32" s="159"/>
      <c r="Y32" s="203">
        <f>AF23/AG23^2</f>
        <v>3.010608165351666E-4</v>
      </c>
      <c r="Z32" s="204"/>
      <c r="AA32" s="204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</row>
    <row r="33" spans="1:37" x14ac:dyDescent="0.15">
      <c r="A33" s="24"/>
      <c r="B33" s="24"/>
      <c r="C33" s="24"/>
      <c r="E33" s="65"/>
      <c r="F33" s="66"/>
      <c r="G33" s="84"/>
      <c r="O33" s="7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</row>
    <row r="34" spans="1:37" x14ac:dyDescent="0.15">
      <c r="A34" s="193" t="s">
        <v>52</v>
      </c>
      <c r="B34" s="193"/>
      <c r="C34" s="98"/>
      <c r="D34" s="201">
        <f>IF(SUM($Y$23)&gt;0,SUM($D$25)/SUM($D$27) - SUM($E$25)/SUM($E$27),"")</f>
        <v>0.17881136100645489</v>
      </c>
      <c r="E34" s="201"/>
      <c r="F34" s="99"/>
      <c r="G34" s="84"/>
      <c r="H34" s="193" t="s">
        <v>53</v>
      </c>
      <c r="I34" s="193"/>
      <c r="J34" s="201">
        <f>IF(SUM(AI23)&gt;0,AJ23/AI23,"")</f>
        <v>0.15863033841428267</v>
      </c>
      <c r="K34" s="201"/>
      <c r="L34" s="201"/>
      <c r="O34" s="73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</row>
    <row r="35" spans="1:37" x14ac:dyDescent="0.15">
      <c r="A35" s="191" t="s">
        <v>45</v>
      </c>
      <c r="B35" s="191"/>
      <c r="C35" s="202">
        <f>IF($D$34&lt;&gt;"",$D$34-1.645*SQRT($D$25*$D$26/$D$27^3+$E$25*$E$26/$E$27^3),"")</f>
        <v>0.15017149836282492</v>
      </c>
      <c r="D35" s="202"/>
      <c r="E35" s="202">
        <f>IF($D$34&lt;&gt;"",$D$34+1.645*SQRT($D$25*$D$26/$D$27^3+$E$25*$E$26/$E$27^3),"")</f>
        <v>0.20745122365008486</v>
      </c>
      <c r="F35" s="207"/>
      <c r="G35" s="84"/>
      <c r="H35" s="191" t="s">
        <v>45</v>
      </c>
      <c r="I35" s="191"/>
      <c r="J35" s="191"/>
      <c r="K35" s="202">
        <f>IF(SUM($AA$23)&gt;0,$J$34-1.645*SQRT($Y$32),"")</f>
        <v>0.13008777202538599</v>
      </c>
      <c r="L35" s="202"/>
      <c r="M35" s="202">
        <f>IF(SUM($AA$23)&gt;0,$J$34+1.645*SQRT($Y$32),"")</f>
        <v>0.18717290480317936</v>
      </c>
      <c r="N35" s="202"/>
      <c r="O35" s="85"/>
    </row>
    <row r="36" spans="1:37" x14ac:dyDescent="0.15">
      <c r="A36" s="206" t="s">
        <v>47</v>
      </c>
      <c r="B36" s="206"/>
      <c r="C36" s="201">
        <f>IF($D$34&lt;&gt;"",$D$34-1.96*SQRT($D$25*$D$26/$D$27^3+$E$25*$E$26/$E$27^3),"")</f>
        <v>0.1446872693459596</v>
      </c>
      <c r="D36" s="201"/>
      <c r="E36" s="201">
        <f>IF($D$34&lt;&gt;"",$D$34+1.96*SQRT($D$25*$D$26/$D$27^3+$E$25*$E$26/$E$27^3),"")</f>
        <v>0.21293545266695019</v>
      </c>
      <c r="F36" s="215"/>
      <c r="G36" s="84"/>
      <c r="H36" s="206" t="s">
        <v>47</v>
      </c>
      <c r="I36" s="206"/>
      <c r="J36" s="206"/>
      <c r="K36" s="201">
        <f>IF(SUM($AA$23)&gt;0,$J$34-1.96*SQRT($Y$32),"")</f>
        <v>0.12462217420623557</v>
      </c>
      <c r="L36" s="201"/>
      <c r="M36" s="201">
        <f>IF(SUM($AA$23)&gt;0,$J$34+1.96*SQRT($Y$32),"")</f>
        <v>0.19263850262232979</v>
      </c>
      <c r="N36" s="201"/>
      <c r="O36" s="86"/>
    </row>
    <row r="37" spans="1:37" x14ac:dyDescent="0.15">
      <c r="A37" s="191" t="s">
        <v>48</v>
      </c>
      <c r="B37" s="191"/>
      <c r="C37" s="202">
        <f>IF($D$34&lt;&gt;"",$D$34-2.575*SQRT($D$25*$D$26/$D$27^3+$E$25*$E$26/$E$27^3),"")</f>
        <v>0.13397996507493684</v>
      </c>
      <c r="D37" s="202"/>
      <c r="E37" s="202">
        <f>IF($D$34&lt;&gt;"",$D$34+2.575*SQRT($D$25*$D$26/$D$27^3+$E$25*$E$26/$E$27^3),"")</f>
        <v>0.22364275693797295</v>
      </c>
      <c r="F37" s="207"/>
      <c r="G37" s="84"/>
      <c r="H37" s="191" t="s">
        <v>48</v>
      </c>
      <c r="I37" s="191"/>
      <c r="J37" s="191"/>
      <c r="K37" s="202">
        <f>IF(SUM($AA$23)&gt;0,$J$34-2.575*SQRT($Y$32),"")</f>
        <v>0.11395124513075139</v>
      </c>
      <c r="L37" s="202"/>
      <c r="M37" s="202">
        <f>IF(SUM($AA$23)&gt;0,$J$34+2.575*SQRT($Y$32),"")</f>
        <v>0.20330943169781396</v>
      </c>
      <c r="N37" s="202"/>
      <c r="O37" s="85"/>
    </row>
    <row r="38" spans="1:37" x14ac:dyDescent="0.15">
      <c r="A38" s="25"/>
      <c r="B38" s="24"/>
      <c r="C38" s="24"/>
      <c r="D38" s="24"/>
      <c r="E38" s="65"/>
      <c r="F38" s="70"/>
      <c r="G38" s="84"/>
      <c r="H38" s="24"/>
      <c r="I38" s="24"/>
      <c r="J38" s="24"/>
      <c r="K38" s="100"/>
      <c r="L38" s="100"/>
      <c r="M38" s="100"/>
      <c r="N38" s="100"/>
      <c r="O38" s="85"/>
    </row>
    <row r="39" spans="1:37" ht="14" thickBot="1" x14ac:dyDescent="0.2">
      <c r="A39" s="76" t="s">
        <v>54</v>
      </c>
      <c r="B39" s="32"/>
      <c r="C39" s="32"/>
      <c r="E39" s="65"/>
      <c r="F39" s="70"/>
      <c r="H39" s="216" t="str">
        <f>IF(SUM(AE24)&gt;0,"P-value for homogeneity:","")</f>
        <v>P-value for homogeneity:</v>
      </c>
      <c r="I39" s="217"/>
      <c r="J39" s="217"/>
      <c r="K39" s="101"/>
      <c r="L39" s="101"/>
      <c r="M39" s="199">
        <f xml:space="preserve"> IF(SUM(AE24)&gt;0,CHIDIST(AK23,AE24),"")</f>
        <v>5.9981831837485011E-2</v>
      </c>
      <c r="N39" s="199"/>
      <c r="O39" s="87"/>
    </row>
    <row r="40" spans="1:37" ht="15" thickTop="1" thickBot="1" x14ac:dyDescent="0.2">
      <c r="A40" s="191" t="s">
        <v>55</v>
      </c>
      <c r="B40" s="191"/>
      <c r="C40" s="24"/>
      <c r="D40" s="177">
        <f>IF($Y$23&lt;&gt;"",($D$25-$D$27*$F$25/$F$27)^2/($F$25*$F$26*$D$27*$E$27/$F$27^3),"")</f>
        <v>68.04153927959112</v>
      </c>
      <c r="F40" s="70"/>
    </row>
    <row r="41" spans="1:37" ht="14" thickTop="1" x14ac:dyDescent="0.15">
      <c r="A41" s="191" t="s">
        <v>56</v>
      </c>
      <c r="B41" s="191"/>
      <c r="C41" s="24"/>
      <c r="D41" s="24">
        <f>IF($Y$23&lt;&gt;"",1,"")</f>
        <v>1</v>
      </c>
      <c r="F41" s="70"/>
      <c r="H41" s="88" t="s">
        <v>57</v>
      </c>
      <c r="I41" s="78"/>
      <c r="J41" s="78"/>
      <c r="K41" s="78"/>
      <c r="L41" s="78"/>
      <c r="M41" s="78"/>
      <c r="N41" s="78"/>
      <c r="O41" s="83"/>
    </row>
    <row r="42" spans="1:37" x14ac:dyDescent="0.15">
      <c r="A42" s="206" t="s">
        <v>58</v>
      </c>
      <c r="B42" s="206"/>
      <c r="C42" s="32"/>
      <c r="D42" s="65" t="str">
        <f>IF($Y$23&lt;&gt;"",IF(CHIDIST(D40,D41)&lt;0.0001,"&lt;0.0001",CHIDIST(D40,D41)),"")</f>
        <v>&lt;0.0001</v>
      </c>
      <c r="F42" s="70"/>
      <c r="H42" s="89"/>
      <c r="O42" s="79"/>
    </row>
    <row r="43" spans="1:37" ht="14" thickBot="1" x14ac:dyDescent="0.2">
      <c r="A43" s="69"/>
      <c r="B43" s="74"/>
      <c r="C43" s="69"/>
      <c r="D43" s="69"/>
      <c r="E43" s="69"/>
      <c r="F43" s="75"/>
      <c r="H43" s="190" t="s">
        <v>55</v>
      </c>
      <c r="I43" s="191"/>
      <c r="J43" s="191"/>
      <c r="K43" s="218">
        <f>IF(SUM(AI23)&gt;0,(W23-X23)^2/Y23,"")</f>
        <v>56.903552566815407</v>
      </c>
      <c r="L43" s="218"/>
      <c r="O43" s="79"/>
    </row>
    <row r="44" spans="1:37" ht="14" thickTop="1" x14ac:dyDescent="0.15">
      <c r="H44" s="190" t="s">
        <v>56</v>
      </c>
      <c r="I44" s="191"/>
      <c r="J44" s="191"/>
      <c r="K44" s="191">
        <f>IF(SUM(AI23)&gt;0,1,"")</f>
        <v>1</v>
      </c>
      <c r="L44" s="191"/>
      <c r="O44" s="79"/>
    </row>
    <row r="45" spans="1:37" ht="14" thickBot="1" x14ac:dyDescent="0.2">
      <c r="H45" s="188" t="s">
        <v>58</v>
      </c>
      <c r="I45" s="189"/>
      <c r="J45" s="189"/>
      <c r="K45" s="198">
        <f>IF(SUM(AI23)&gt;0,CHIDIST(K43,K44),"")</f>
        <v>4.5771823207814876E-14</v>
      </c>
      <c r="L45" s="198"/>
      <c r="M45" s="69"/>
      <c r="N45" s="69"/>
      <c r="O45" s="71"/>
    </row>
    <row r="46" spans="1:37" ht="15" thickTop="1" thickBot="1" x14ac:dyDescent="0.2"/>
    <row r="47" spans="1:37" ht="14" thickTop="1" x14ac:dyDescent="0.15">
      <c r="H47" s="88" t="s">
        <v>59</v>
      </c>
      <c r="I47" s="78"/>
      <c r="J47" s="78"/>
      <c r="K47" s="78"/>
      <c r="L47" s="78"/>
      <c r="M47" s="78"/>
      <c r="N47" s="78"/>
      <c r="O47" s="83"/>
    </row>
    <row r="48" spans="1:37" x14ac:dyDescent="0.15">
      <c r="H48" s="94"/>
      <c r="O48" s="79"/>
    </row>
    <row r="49" spans="1:15" x14ac:dyDescent="0.15">
      <c r="H49" s="94"/>
      <c r="I49" s="206" t="s">
        <v>60</v>
      </c>
      <c r="J49" s="206"/>
      <c r="K49" s="23"/>
      <c r="M49" s="206" t="s">
        <v>61</v>
      </c>
      <c r="N49" s="206"/>
      <c r="O49" s="178"/>
    </row>
    <row r="50" spans="1:15" x14ac:dyDescent="0.15">
      <c r="H50" s="179"/>
      <c r="I50" s="24" t="s">
        <v>62</v>
      </c>
      <c r="J50" s="180">
        <f>IF(AE24&gt;0,AE23,"")</f>
        <v>6.976583097807916E-2</v>
      </c>
      <c r="K50" s="23"/>
      <c r="L50" s="23"/>
      <c r="M50" s="24" t="s">
        <v>62</v>
      </c>
      <c r="N50" s="180">
        <f>IF(AE24&gt;0,AK23,"")</f>
        <v>3.5378868758245732</v>
      </c>
      <c r="O50" s="178"/>
    </row>
    <row r="51" spans="1:15" x14ac:dyDescent="0.15">
      <c r="G51" s="14"/>
      <c r="H51" s="179"/>
      <c r="I51" s="24" t="s">
        <v>56</v>
      </c>
      <c r="J51" s="23">
        <f>IF(AE24&gt;0,AE24,"")</f>
        <v>1</v>
      </c>
      <c r="K51" s="23"/>
      <c r="L51" s="23"/>
      <c r="M51" s="24" t="s">
        <v>56</v>
      </c>
      <c r="N51" s="23">
        <f>IF(AE24&gt;0,AE24,"")</f>
        <v>1</v>
      </c>
      <c r="O51" s="178"/>
    </row>
    <row r="52" spans="1:15" ht="14" thickBot="1" x14ac:dyDescent="0.2">
      <c r="G52" s="14"/>
      <c r="H52" s="181"/>
      <c r="I52" s="90" t="s">
        <v>58</v>
      </c>
      <c r="J52" s="95">
        <f>IF(AE24&gt;0,CHIDIST(J50,J51),"")</f>
        <v>0.79167803530049075</v>
      </c>
      <c r="K52" s="182"/>
      <c r="L52" s="182"/>
      <c r="M52" s="90" t="s">
        <v>58</v>
      </c>
      <c r="N52" s="95">
        <f>IF(AE24&gt;0,CHIDIST(N50,N51),"")</f>
        <v>5.9981831837485011E-2</v>
      </c>
      <c r="O52" s="183"/>
    </row>
    <row r="53" spans="1:15" ht="14" thickTop="1" x14ac:dyDescent="0.15">
      <c r="G53" s="14"/>
    </row>
    <row r="54" spans="1:15" x14ac:dyDescent="0.15">
      <c r="H54" s="14"/>
    </row>
    <row r="55" spans="1:15" x14ac:dyDescent="0.15">
      <c r="H55" s="14"/>
    </row>
    <row r="56" spans="1:15" x14ac:dyDescent="0.15">
      <c r="H56" s="14"/>
    </row>
    <row r="63" spans="1:15" x14ac:dyDescent="0.15">
      <c r="A63" s="14"/>
    </row>
    <row r="64" spans="1:15" x14ac:dyDescent="0.15">
      <c r="A64" s="14"/>
      <c r="B64" s="30"/>
      <c r="C64" s="30"/>
    </row>
    <row r="65" spans="1:4" x14ac:dyDescent="0.15">
      <c r="A65" s="14"/>
      <c r="B65" s="14"/>
      <c r="C65" s="14"/>
    </row>
    <row r="66" spans="1:4" x14ac:dyDescent="0.15">
      <c r="A66" s="14"/>
      <c r="B66" s="14"/>
      <c r="C66" s="14"/>
      <c r="D66" s="14"/>
    </row>
    <row r="67" spans="1:4" x14ac:dyDescent="0.15">
      <c r="A67" s="14"/>
      <c r="B67" s="14"/>
      <c r="C67" s="14"/>
      <c r="D67" s="14"/>
    </row>
    <row r="68" spans="1:4" x14ac:dyDescent="0.15">
      <c r="A68" s="14"/>
      <c r="B68" s="14"/>
      <c r="C68" s="14"/>
      <c r="D68" s="14"/>
    </row>
    <row r="69" spans="1:4" x14ac:dyDescent="0.15">
      <c r="A69" s="14"/>
      <c r="B69" s="14"/>
      <c r="C69" s="14"/>
      <c r="D69" s="14"/>
    </row>
    <row r="70" spans="1:4" x14ac:dyDescent="0.15">
      <c r="A70" s="14"/>
      <c r="B70" s="14"/>
      <c r="C70" s="14"/>
      <c r="D70" s="14"/>
    </row>
    <row r="71" spans="1:4" x14ac:dyDescent="0.15">
      <c r="A71" s="14"/>
      <c r="B71" s="14"/>
      <c r="C71" s="14"/>
      <c r="D71" s="14"/>
    </row>
    <row r="72" spans="1:4" x14ac:dyDescent="0.15">
      <c r="A72" s="14"/>
      <c r="B72" s="14"/>
      <c r="C72" s="14"/>
      <c r="D72" s="14"/>
    </row>
    <row r="73" spans="1:4" x14ac:dyDescent="0.15">
      <c r="A73" s="14"/>
      <c r="B73" s="14"/>
      <c r="C73" s="14"/>
      <c r="D73" s="14"/>
    </row>
    <row r="74" spans="1:4" x14ac:dyDescent="0.15">
      <c r="A74" s="14"/>
      <c r="B74" s="14"/>
      <c r="C74" s="14"/>
      <c r="D74" s="14"/>
    </row>
    <row r="75" spans="1:4" x14ac:dyDescent="0.15">
      <c r="A75" s="14"/>
      <c r="B75" s="14"/>
      <c r="C75" s="14"/>
      <c r="D75" s="14"/>
    </row>
    <row r="76" spans="1:4" x14ac:dyDescent="0.15">
      <c r="A76" s="14"/>
      <c r="B76" s="14"/>
      <c r="C76" s="14"/>
      <c r="D76" s="14"/>
    </row>
    <row r="77" spans="1:4" x14ac:dyDescent="0.15">
      <c r="A77" s="14"/>
      <c r="B77" s="14"/>
      <c r="C77" s="14"/>
      <c r="D77" s="14"/>
    </row>
    <row r="78" spans="1:4" x14ac:dyDescent="0.15">
      <c r="A78" s="14"/>
      <c r="B78" s="14"/>
      <c r="C78" s="14"/>
      <c r="D78" s="14"/>
    </row>
    <row r="79" spans="1:4" x14ac:dyDescent="0.15">
      <c r="A79" s="14"/>
      <c r="B79" s="14"/>
      <c r="C79" s="14"/>
      <c r="D79" s="14"/>
    </row>
    <row r="80" spans="1:4" x14ac:dyDescent="0.15">
      <c r="A80" s="14"/>
      <c r="B80" s="14"/>
      <c r="C80" s="14"/>
      <c r="D80" s="14"/>
    </row>
    <row r="81" spans="1:4" x14ac:dyDescent="0.15">
      <c r="A81" s="14"/>
      <c r="B81" s="14"/>
      <c r="C81" s="14"/>
      <c r="D81" s="14"/>
    </row>
    <row r="82" spans="1:4" x14ac:dyDescent="0.15">
      <c r="A82" s="14"/>
      <c r="B82" s="14"/>
      <c r="C82" s="14"/>
      <c r="D82" s="14"/>
    </row>
    <row r="83" spans="1:4" x14ac:dyDescent="0.15">
      <c r="A83" s="14"/>
      <c r="B83" s="14"/>
      <c r="C83" s="14"/>
      <c r="D83" s="14"/>
    </row>
    <row r="84" spans="1:4" x14ac:dyDescent="0.15">
      <c r="A84" s="14"/>
      <c r="B84" s="14"/>
      <c r="C84" s="14"/>
      <c r="D84" s="14"/>
    </row>
    <row r="85" spans="1:4" x14ac:dyDescent="0.15">
      <c r="A85" s="14"/>
      <c r="B85" s="14"/>
      <c r="C85" s="14"/>
      <c r="D85" s="14"/>
    </row>
    <row r="86" spans="1:4" x14ac:dyDescent="0.15">
      <c r="A86" s="14"/>
      <c r="B86" s="14"/>
      <c r="C86" s="14"/>
      <c r="D86" s="14"/>
    </row>
    <row r="87" spans="1:4" x14ac:dyDescent="0.15">
      <c r="A87" s="14"/>
      <c r="B87" s="14"/>
      <c r="C87" s="14"/>
      <c r="D87" s="14"/>
    </row>
    <row r="88" spans="1:4" x14ac:dyDescent="0.15">
      <c r="A88" s="14"/>
      <c r="B88" s="14"/>
      <c r="C88" s="14"/>
      <c r="D88" s="14"/>
    </row>
    <row r="89" spans="1:4" x14ac:dyDescent="0.15">
      <c r="A89" s="14"/>
      <c r="B89" s="14"/>
      <c r="C89" s="14"/>
      <c r="D89" s="14"/>
    </row>
    <row r="90" spans="1:4" x14ac:dyDescent="0.15">
      <c r="A90" s="14"/>
      <c r="B90" s="14"/>
      <c r="C90" s="14"/>
      <c r="D90" s="14"/>
    </row>
    <row r="91" spans="1:4" x14ac:dyDescent="0.15">
      <c r="A91" s="14"/>
      <c r="B91" s="14"/>
      <c r="C91" s="14"/>
      <c r="D91" s="14"/>
    </row>
    <row r="92" spans="1:4" x14ac:dyDescent="0.15">
      <c r="A92" s="14"/>
      <c r="B92" s="14"/>
      <c r="C92" s="14"/>
      <c r="D92" s="14"/>
    </row>
    <row r="93" spans="1:4" x14ac:dyDescent="0.15">
      <c r="A93" s="14"/>
      <c r="B93" s="14"/>
      <c r="C93" s="14"/>
      <c r="D93" s="14"/>
    </row>
    <row r="94" spans="1:4" x14ac:dyDescent="0.15">
      <c r="A94" s="14"/>
      <c r="B94" s="14"/>
      <c r="C94" s="14"/>
      <c r="D94" s="14"/>
    </row>
    <row r="95" spans="1:4" x14ac:dyDescent="0.15">
      <c r="A95" s="14"/>
      <c r="B95" s="14"/>
      <c r="C95" s="14"/>
      <c r="D95" s="14"/>
    </row>
    <row r="96" spans="1:4" x14ac:dyDescent="0.15">
      <c r="A96" s="14"/>
      <c r="B96" s="14"/>
      <c r="C96" s="14"/>
      <c r="D96" s="14"/>
    </row>
    <row r="97" spans="1:4" x14ac:dyDescent="0.15">
      <c r="A97" s="14"/>
      <c r="B97" s="14"/>
      <c r="C97" s="14"/>
      <c r="D97" s="14"/>
    </row>
    <row r="98" spans="1:4" x14ac:dyDescent="0.15">
      <c r="A98" s="14"/>
      <c r="B98" s="14"/>
      <c r="C98" s="14"/>
      <c r="D98" s="14"/>
    </row>
    <row r="99" spans="1:4" x14ac:dyDescent="0.15">
      <c r="A99" s="14"/>
      <c r="B99" s="14"/>
      <c r="C99" s="14"/>
      <c r="D99" s="14"/>
    </row>
    <row r="100" spans="1:4" x14ac:dyDescent="0.15">
      <c r="A100" s="14"/>
      <c r="B100" s="14"/>
      <c r="C100" s="14"/>
      <c r="D100" s="14"/>
    </row>
    <row r="101" spans="1:4" x14ac:dyDescent="0.15">
      <c r="A101" s="14"/>
      <c r="B101" s="14"/>
      <c r="C101" s="14"/>
      <c r="D101" s="14"/>
    </row>
    <row r="102" spans="1:4" x14ac:dyDescent="0.15">
      <c r="A102" s="14"/>
      <c r="B102" s="14"/>
      <c r="C102" s="14"/>
      <c r="D102" s="14"/>
    </row>
    <row r="103" spans="1:4" x14ac:dyDescent="0.15">
      <c r="A103" s="14"/>
      <c r="B103" s="14"/>
      <c r="C103" s="14"/>
      <c r="D103" s="14"/>
    </row>
    <row r="104" spans="1:4" x14ac:dyDescent="0.15">
      <c r="A104" s="14"/>
      <c r="B104" s="14"/>
      <c r="C104" s="14"/>
      <c r="D104" s="14"/>
    </row>
    <row r="105" spans="1:4" x14ac:dyDescent="0.15">
      <c r="A105" s="14"/>
      <c r="B105" s="14"/>
      <c r="C105" s="14"/>
      <c r="D105" s="14"/>
    </row>
    <row r="106" spans="1:4" x14ac:dyDescent="0.15">
      <c r="A106" s="14"/>
      <c r="B106" s="14"/>
      <c r="C106" s="14"/>
      <c r="D106" s="14"/>
    </row>
    <row r="107" spans="1:4" x14ac:dyDescent="0.15">
      <c r="A107" s="14"/>
      <c r="B107" s="14"/>
      <c r="C107" s="14"/>
      <c r="D107" s="14"/>
    </row>
    <row r="108" spans="1:4" x14ac:dyDescent="0.15">
      <c r="A108" s="14"/>
      <c r="B108" s="14"/>
      <c r="C108" s="14"/>
      <c r="D108" s="14"/>
    </row>
    <row r="109" spans="1:4" x14ac:dyDescent="0.15">
      <c r="A109" s="14"/>
      <c r="B109" s="14"/>
      <c r="C109" s="14"/>
      <c r="D109" s="14"/>
    </row>
    <row r="110" spans="1:4" x14ac:dyDescent="0.15">
      <c r="A110" s="14"/>
      <c r="B110" s="14"/>
      <c r="C110" s="14"/>
      <c r="D110" s="14"/>
    </row>
    <row r="111" spans="1:4" x14ac:dyDescent="0.15">
      <c r="A111" s="14"/>
      <c r="B111" s="14"/>
      <c r="C111" s="14"/>
      <c r="D111" s="14"/>
    </row>
    <row r="112" spans="1:4" x14ac:dyDescent="0.15">
      <c r="A112" s="14"/>
      <c r="B112" s="14"/>
      <c r="C112" s="14"/>
      <c r="D112" s="14"/>
    </row>
    <row r="113" spans="1:4" x14ac:dyDescent="0.15">
      <c r="A113" s="14"/>
      <c r="B113" s="14"/>
      <c r="C113" s="14"/>
      <c r="D113" s="14"/>
    </row>
    <row r="114" spans="1:4" x14ac:dyDescent="0.15">
      <c r="A114" s="14"/>
      <c r="B114" s="14"/>
      <c r="C114" s="14"/>
      <c r="D114" s="14"/>
    </row>
    <row r="115" spans="1:4" x14ac:dyDescent="0.15">
      <c r="A115" s="14"/>
      <c r="B115" s="14"/>
      <c r="C115" s="14"/>
      <c r="D115" s="14"/>
    </row>
    <row r="116" spans="1:4" x14ac:dyDescent="0.15">
      <c r="A116" s="14"/>
      <c r="B116" s="14"/>
      <c r="C116" s="14"/>
      <c r="D116" s="14"/>
    </row>
    <row r="117" spans="1:4" x14ac:dyDescent="0.15">
      <c r="A117" s="14"/>
      <c r="B117" s="14"/>
      <c r="C117" s="14"/>
      <c r="D117" s="14"/>
    </row>
    <row r="118" spans="1:4" x14ac:dyDescent="0.15">
      <c r="A118" s="14"/>
      <c r="B118" s="14"/>
      <c r="C118" s="14"/>
      <c r="D118" s="14"/>
    </row>
    <row r="119" spans="1:4" x14ac:dyDescent="0.15">
      <c r="A119" s="14"/>
      <c r="B119" s="14"/>
      <c r="C119" s="14"/>
      <c r="D119" s="14"/>
    </row>
    <row r="120" spans="1:4" x14ac:dyDescent="0.15">
      <c r="A120" s="14"/>
      <c r="B120" s="14"/>
      <c r="C120" s="14"/>
      <c r="D120" s="14"/>
    </row>
    <row r="121" spans="1:4" x14ac:dyDescent="0.15">
      <c r="A121" s="14"/>
      <c r="B121" s="14"/>
      <c r="C121" s="14"/>
      <c r="D121" s="14"/>
    </row>
    <row r="122" spans="1:4" x14ac:dyDescent="0.15">
      <c r="A122" s="14"/>
      <c r="B122" s="14"/>
      <c r="C122" s="14"/>
      <c r="D122" s="14"/>
    </row>
    <row r="123" spans="1:4" x14ac:dyDescent="0.15">
      <c r="A123" s="14"/>
      <c r="B123" s="14"/>
      <c r="C123" s="14"/>
      <c r="D123" s="14"/>
    </row>
    <row r="124" spans="1:4" x14ac:dyDescent="0.15">
      <c r="A124" s="14"/>
      <c r="B124" s="14"/>
      <c r="C124" s="14"/>
      <c r="D124" s="14"/>
    </row>
  </sheetData>
  <sheetProtection sheet="1" objects="1" scenarios="1"/>
  <mergeCells count="86">
    <mergeCell ref="A41:B41"/>
    <mergeCell ref="M37:N37"/>
    <mergeCell ref="M36:N36"/>
    <mergeCell ref="H43:J43"/>
    <mergeCell ref="K43:L43"/>
    <mergeCell ref="H37:J37"/>
    <mergeCell ref="H36:J36"/>
    <mergeCell ref="K36:L36"/>
    <mergeCell ref="K37:L37"/>
    <mergeCell ref="E37:F37"/>
    <mergeCell ref="H39:J39"/>
    <mergeCell ref="I49:J49"/>
    <mergeCell ref="M49:N49"/>
    <mergeCell ref="A30:B30"/>
    <mergeCell ref="A31:B31"/>
    <mergeCell ref="A32:B32"/>
    <mergeCell ref="A35:B35"/>
    <mergeCell ref="A36:B36"/>
    <mergeCell ref="A37:B37"/>
    <mergeCell ref="A40:B40"/>
    <mergeCell ref="A42:B42"/>
    <mergeCell ref="C36:D36"/>
    <mergeCell ref="C37:D37"/>
    <mergeCell ref="E36:F36"/>
    <mergeCell ref="H30:J30"/>
    <mergeCell ref="H35:J35"/>
    <mergeCell ref="M30:N30"/>
    <mergeCell ref="E11:F11"/>
    <mergeCell ref="I11:J11"/>
    <mergeCell ref="M11:N11"/>
    <mergeCell ref="Q11:R11"/>
    <mergeCell ref="E10:F10"/>
    <mergeCell ref="I10:J10"/>
    <mergeCell ref="M10:N10"/>
    <mergeCell ref="E16:F16"/>
    <mergeCell ref="I16:J16"/>
    <mergeCell ref="M16:N16"/>
    <mergeCell ref="Q16:R16"/>
    <mergeCell ref="E15:F15"/>
    <mergeCell ref="I15:J15"/>
    <mergeCell ref="M15:N15"/>
    <mergeCell ref="E21:F21"/>
    <mergeCell ref="I21:J21"/>
    <mergeCell ref="M21:N21"/>
    <mergeCell ref="Q21:R21"/>
    <mergeCell ref="E20:F20"/>
    <mergeCell ref="I20:J20"/>
    <mergeCell ref="M20:N20"/>
    <mergeCell ref="A23:F23"/>
    <mergeCell ref="H25:I25"/>
    <mergeCell ref="J25:L25"/>
    <mergeCell ref="H26:J26"/>
    <mergeCell ref="K26:L26"/>
    <mergeCell ref="D29:E29"/>
    <mergeCell ref="D34:E34"/>
    <mergeCell ref="E35:F35"/>
    <mergeCell ref="A29:B29"/>
    <mergeCell ref="A34:B34"/>
    <mergeCell ref="C35:D35"/>
    <mergeCell ref="Z5:AE5"/>
    <mergeCell ref="AH5:AK5"/>
    <mergeCell ref="K45:L45"/>
    <mergeCell ref="M39:N39"/>
    <mergeCell ref="Y29:AA29"/>
    <mergeCell ref="J34:L34"/>
    <mergeCell ref="K35:L35"/>
    <mergeCell ref="M35:N35"/>
    <mergeCell ref="Y32:AA32"/>
    <mergeCell ref="Y25:AA25"/>
    <mergeCell ref="H28:J28"/>
    <mergeCell ref="K28:L28"/>
    <mergeCell ref="M28:N28"/>
    <mergeCell ref="Y26:AA26"/>
    <mergeCell ref="M26:N26"/>
    <mergeCell ref="H27:J27"/>
    <mergeCell ref="H45:J45"/>
    <mergeCell ref="H44:J44"/>
    <mergeCell ref="K44:L44"/>
    <mergeCell ref="U5:V5"/>
    <mergeCell ref="W5:Y5"/>
    <mergeCell ref="H34:I34"/>
    <mergeCell ref="K27:L27"/>
    <mergeCell ref="M27:N27"/>
    <mergeCell ref="Q20:R20"/>
    <mergeCell ref="Q15:R15"/>
    <mergeCell ref="Q10:R10"/>
  </mergeCells>
  <phoneticPr fontId="0" type="noConversion"/>
  <dataValidations count="5">
    <dataValidation type="custom" allowBlank="1" showInputMessage="1" showErrorMessage="1" errorTitle="Invalid Entry" error="Please enter a whole number_x000a_greater than zero and at least _x000a_as great as the number of exposed cases" promptTitle="ENTER:" prompt="Number of Exposed People at Risk" sqref="D19 D9 H9 P14 L9 P19 L19 H19 L14 H14 D14 P9" xr:uid="{00000000-0002-0000-0200-000000000000}">
      <formula1 xml:space="preserve"> AND(D9&gt;=D7,D9&gt;0)</formula1>
    </dataValidation>
    <dataValidation type="custom" allowBlank="1" showInputMessage="1" showErrorMessage="1" errorTitle="Invalid Entry" error="Please enter a whole number_x000a_greater than zero and at least _x000a_as great as the number of exposed cases" promptTitle="ENTER:" prompt="Number of Unexposed People at Risk" sqref="I9" xr:uid="{00000000-0002-0000-0200-000001000000}">
      <formula1 xml:space="preserve"> AND(I9&gt;=I7,I9&gt;0)</formula1>
    </dataValidation>
    <dataValidation type="custom" allowBlank="1" showInputMessage="1" showErrorMessage="1" errorTitle="Invalid Entry" error="Please enter a whole number_x000a_greater than zero and at least _x000a_as great as the number of exposed cases" promptTitle="ENTER:" prompt="Number of Unexposed People at Risk" sqref="Q19 Q14 M14 E14 I19 E9 M19 E19 I14 M9 Q9" xr:uid="{00000000-0002-0000-0200-000002000000}">
      <formula1 xml:space="preserve"> AND(E9&gt;=E7,SUM(E9)&gt;0)</formula1>
    </dataValidation>
    <dataValidation type="whole" operator="greaterThanOrEqual" allowBlank="1" showInputMessage="1" showErrorMessage="1" errorTitle="Invalid Entry" error="Enter a whole number greater_x000a_than zero" promptTitle="ENTER:" prompt="Exposed Cases" sqref="H7 D7 D12 P17 L7 P7 P12 L12 H12 H17 L17 D17" xr:uid="{00000000-0002-0000-0200-000003000000}">
      <formula1>0</formula1>
    </dataValidation>
    <dataValidation type="whole" operator="greaterThanOrEqual" allowBlank="1" showInputMessage="1" showErrorMessage="1" errorTitle="Invalid Entry" error="Enter a whole number greater_x000a_than zero" promptTitle="ENTER:" prompt="Unexposed Cases" sqref="I7 E7 E12 Q17 M7 Q7 Q12 M12 I12 I17 M17 E17" xr:uid="{00000000-0002-0000-0200-000004000000}">
      <formula1>0</formula1>
    </dataValidation>
  </dataValidations>
  <pageMargins left="0.75" right="0.75" top="1" bottom="1" header="0.5" footer="0.5"/>
  <pageSetup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26"/>
  </sheetPr>
  <dimension ref="A1:AK107"/>
  <sheetViews>
    <sheetView topLeftCell="C4" zoomScale="99" zoomScaleNormal="100" workbookViewId="0">
      <selection activeCell="L9" sqref="L9"/>
    </sheetView>
  </sheetViews>
  <sheetFormatPr baseColWidth="10" defaultColWidth="8.83203125" defaultRowHeight="13" x14ac:dyDescent="0.15"/>
  <cols>
    <col min="1" max="3" width="9.1640625" customWidth="1"/>
    <col min="4" max="18" width="8.6640625" customWidth="1"/>
    <col min="19" max="19" width="0.83203125" customWidth="1"/>
    <col min="20" max="20" width="6.33203125" customWidth="1"/>
    <col min="21" max="21" width="12" bestFit="1" customWidth="1"/>
    <col min="22" max="22" width="12.33203125" bestFit="1" customWidth="1"/>
    <col min="23" max="23" width="4.33203125" bestFit="1" customWidth="1"/>
    <col min="24" max="25" width="12" bestFit="1" customWidth="1"/>
    <col min="26" max="27" width="7.6640625" customWidth="1"/>
    <col min="28" max="28" width="12" bestFit="1" customWidth="1"/>
    <col min="29" max="30" width="7.6640625" customWidth="1"/>
    <col min="31" max="31" width="12" bestFit="1" customWidth="1"/>
    <col min="32" max="33" width="12" customWidth="1"/>
    <col min="34" max="34" width="10.1640625" customWidth="1"/>
    <col min="35" max="35" width="10.6640625" customWidth="1"/>
    <col min="36" max="36" width="12" customWidth="1"/>
    <col min="37" max="37" width="12" bestFit="1" customWidth="1"/>
    <col min="38" max="41" width="13" customWidth="1"/>
    <col min="42" max="42" width="13" bestFit="1" customWidth="1"/>
    <col min="43" max="43" width="13.6640625" customWidth="1"/>
    <col min="44" max="45" width="13" customWidth="1"/>
  </cols>
  <sheetData>
    <row r="1" spans="1:37" x14ac:dyDescent="0.15">
      <c r="A1" s="1" t="s">
        <v>9</v>
      </c>
    </row>
    <row r="2" spans="1:37" x14ac:dyDescent="0.15">
      <c r="A2" s="2" t="s">
        <v>63</v>
      </c>
    </row>
    <row r="3" spans="1:37" x14ac:dyDescent="0.15">
      <c r="A3" s="2" t="s">
        <v>11</v>
      </c>
    </row>
    <row r="4" spans="1:37" x14ac:dyDescent="0.15">
      <c r="A4" s="2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</row>
    <row r="5" spans="1:37" ht="14" thickBot="1" x14ac:dyDescent="0.2">
      <c r="U5" s="192" t="s">
        <v>12</v>
      </c>
      <c r="V5" s="192"/>
      <c r="W5" s="192" t="s">
        <v>13</v>
      </c>
      <c r="X5" s="192"/>
      <c r="Y5" s="192"/>
      <c r="Z5" s="197" t="s">
        <v>64</v>
      </c>
      <c r="AA5" s="197"/>
      <c r="AB5" s="197"/>
      <c r="AC5" s="197"/>
      <c r="AD5" s="197"/>
      <c r="AE5" s="197"/>
      <c r="AF5" s="160"/>
      <c r="AG5" s="160"/>
      <c r="AH5" s="197" t="s">
        <v>15</v>
      </c>
      <c r="AI5" s="197"/>
      <c r="AJ5" s="197"/>
      <c r="AK5" s="197"/>
    </row>
    <row r="6" spans="1:37" ht="52" thickTop="1" x14ac:dyDescent="0.15">
      <c r="A6" s="3"/>
      <c r="B6" s="4"/>
      <c r="C6" s="4"/>
      <c r="D6" s="5" t="s">
        <v>16</v>
      </c>
      <c r="E6" s="5" t="s">
        <v>17</v>
      </c>
      <c r="F6" s="5" t="s">
        <v>18</v>
      </c>
      <c r="G6" s="6"/>
      <c r="H6" s="5" t="s">
        <v>16</v>
      </c>
      <c r="I6" s="5" t="s">
        <v>17</v>
      </c>
      <c r="J6" s="5" t="s">
        <v>18</v>
      </c>
      <c r="K6" s="6"/>
      <c r="L6" s="5" t="s">
        <v>16</v>
      </c>
      <c r="M6" s="5" t="s">
        <v>17</v>
      </c>
      <c r="N6" s="5" t="s">
        <v>18</v>
      </c>
      <c r="O6" s="6"/>
      <c r="P6" s="5" t="s">
        <v>16</v>
      </c>
      <c r="Q6" s="5" t="s">
        <v>17</v>
      </c>
      <c r="R6" s="7" t="s">
        <v>18</v>
      </c>
      <c r="S6" s="8"/>
      <c r="T6" s="68" t="s">
        <v>19</v>
      </c>
      <c r="U6" s="163" t="s">
        <v>20</v>
      </c>
      <c r="V6" s="162" t="s">
        <v>21</v>
      </c>
      <c r="W6" s="163" t="s">
        <v>22</v>
      </c>
      <c r="X6" s="164" t="s">
        <v>23</v>
      </c>
      <c r="Y6" s="165" t="s">
        <v>24</v>
      </c>
      <c r="Z6" s="163" t="s">
        <v>65</v>
      </c>
      <c r="AA6" s="164" t="s">
        <v>66</v>
      </c>
      <c r="AB6" s="164" t="s">
        <v>67</v>
      </c>
      <c r="AC6" s="164" t="s">
        <v>68</v>
      </c>
      <c r="AD6" s="164" t="s">
        <v>26</v>
      </c>
      <c r="AE6" s="176" t="s">
        <v>30</v>
      </c>
      <c r="AF6" s="166" t="s">
        <v>31</v>
      </c>
      <c r="AG6" s="166" t="s">
        <v>32</v>
      </c>
      <c r="AH6" s="164" t="s">
        <v>33</v>
      </c>
      <c r="AI6" s="166" t="s">
        <v>34</v>
      </c>
      <c r="AJ6" s="164" t="s">
        <v>35</v>
      </c>
      <c r="AK6" s="176" t="s">
        <v>30</v>
      </c>
    </row>
    <row r="7" spans="1:37" x14ac:dyDescent="0.15">
      <c r="A7" s="10" t="s">
        <v>36</v>
      </c>
      <c r="D7" s="11">
        <v>17</v>
      </c>
      <c r="E7" s="11">
        <v>63</v>
      </c>
      <c r="F7" s="12">
        <f>IF(AND(D7="",E7=""),"",SUM(D7,E7))</f>
        <v>80</v>
      </c>
      <c r="H7" s="11">
        <v>83</v>
      </c>
      <c r="I7" s="11">
        <v>233</v>
      </c>
      <c r="J7" s="12">
        <f>IF(AND(H7="",I7=""),"",SUM(H7,I7))</f>
        <v>316</v>
      </c>
      <c r="L7" s="11">
        <v>341</v>
      </c>
      <c r="M7" s="11">
        <v>405</v>
      </c>
      <c r="N7" s="12">
        <f>IF(AND(L7="",M7=""),"",SUM(L7,M7))</f>
        <v>746</v>
      </c>
      <c r="P7" s="11"/>
      <c r="Q7" s="11"/>
      <c r="R7" s="13" t="str">
        <f>IF(AND(P7="",Q7=""),"",SUM(P7,Q7))</f>
        <v/>
      </c>
      <c r="T7" s="30">
        <v>1</v>
      </c>
      <c r="U7" s="169">
        <f>IF(OR(SUM(D8)=0,SUM(E8)=0),"",D7/D8-E7/E8)</f>
        <v>1.003528686917797E-5</v>
      </c>
      <c r="V7" s="158">
        <f>IF(SUM(Y7)&gt;0,IF(SUM(E7)*SUM(D8)&gt;0,D7*E8/E7/D8,"infinity"),"")</f>
        <v>1.0008980785296575</v>
      </c>
      <c r="W7" s="169">
        <f>IF(D7&gt;0,D7,"")</f>
        <v>17</v>
      </c>
      <c r="X7" s="159">
        <f>IF(SUM(F8)&gt;0,F7*D8/F8,"")</f>
        <v>16.987985470801899</v>
      </c>
      <c r="Y7" s="158">
        <f>IF(SUM(F8)&gt;0,SUM(F7)*SUM(D8)*SUM(E8)/F8^2,"")</f>
        <v>13.380589841349694</v>
      </c>
      <c r="Z7" s="169">
        <f>IF(SUM(F8)&gt;0,D7*E8/F8,"")</f>
        <v>13.390053087454596</v>
      </c>
      <c r="AA7" s="159">
        <f>IF(SUM(F8)&gt;0,E7*D8/F8,"")</f>
        <v>13.378038558256495</v>
      </c>
      <c r="AB7" s="159">
        <f>IF(SUM(Y7)&gt;0,F7*D8*E8/F8^2,"")</f>
        <v>13.380589841349694</v>
      </c>
      <c r="AC7" s="159">
        <f>IF(SUM(Y7)&gt;0,D7*E8/F8,"")</f>
        <v>13.390053087454596</v>
      </c>
      <c r="AD7" s="159">
        <f>IF(SUM(Y7)&gt;0,E7*D8/F8,"")</f>
        <v>13.378038558256495</v>
      </c>
      <c r="AE7" s="158">
        <f>IF(SUM(D7)*SUM(E7)&gt;0, (LN(V7)-LN($J$22))^2/(1/D7 + 1/E7),"")</f>
        <v>2.2219210114521992E-2</v>
      </c>
      <c r="AF7" s="159">
        <f>IF(SUM(F8)&gt;0,(D7*E8^2+E7*D8^2)/F8^2,"")</f>
        <v>13.387501804361397</v>
      </c>
      <c r="AG7" s="159">
        <f>AI7</f>
        <v>1197.2282760547639</v>
      </c>
      <c r="AH7" s="159">
        <f>IF(SUM(F8)&gt;0,D7/D8^2+E7/E8^2,"")</f>
        <v>9.3399728010267818E-6</v>
      </c>
      <c r="AI7" s="159">
        <f>IF(SUM(F8)&gt;0,D8*E8/F8,"")</f>
        <v>1197.2282760547639</v>
      </c>
      <c r="AJ7" s="159">
        <f>IF(SUM(AH7)&gt;0,AI7*U7,"")</f>
        <v>1.201452919810095E-2</v>
      </c>
      <c r="AK7" s="158">
        <f>IF(SUM(D7)*SUM(E7)&gt;0, (U7-$J$31)^2/(AH7),"")</f>
        <v>0.28969065057800275</v>
      </c>
    </row>
    <row r="8" spans="1:37" x14ac:dyDescent="0.15">
      <c r="A8" s="10" t="s">
        <v>69</v>
      </c>
      <c r="D8" s="110">
        <v>1520</v>
      </c>
      <c r="E8" s="110">
        <v>5638</v>
      </c>
      <c r="F8" s="111">
        <f>IF(SUM(D8,E8)=0,"",SUM(D8,E8))</f>
        <v>7158</v>
      </c>
      <c r="H8" s="110">
        <v>2981</v>
      </c>
      <c r="I8" s="110">
        <v>9832</v>
      </c>
      <c r="J8" s="111">
        <f>IF(SUM(H8,I8)=0,"",SUM(H8,I8))</f>
        <v>12813</v>
      </c>
      <c r="L8" s="110">
        <v>5492</v>
      </c>
      <c r="M8" s="110">
        <v>6566</v>
      </c>
      <c r="N8" s="111">
        <f>IF(SUM(L8,M8)=0,"",SUM(L8,M8))</f>
        <v>12058</v>
      </c>
      <c r="P8" s="110"/>
      <c r="Q8" s="110"/>
      <c r="R8" s="112" t="str">
        <f>IF(SUM(P8,Q8)=0,"",SUM(P8,Q8))</f>
        <v/>
      </c>
      <c r="T8" s="30">
        <v>2</v>
      </c>
      <c r="U8" s="169">
        <f>IF(OR(SUM(H8)=0,SUM(I8)=0),"",H7/H8-I7/I8)</f>
        <v>4.1448771429795812E-3</v>
      </c>
      <c r="V8" s="158">
        <f>IF(SUM(Y8)&gt;0,IF(SUM(I7)*SUM(H8)&gt;0,H7*I8/I7/H8,"infinity"),"")</f>
        <v>1.1749031419303659</v>
      </c>
      <c r="W8" s="169">
        <f>IF(H7&gt;0,H7,"")</f>
        <v>83</v>
      </c>
      <c r="X8" s="159">
        <f>IF(SUM(J8)&gt;0,J7*H8/J8,"")</f>
        <v>73.518769999219543</v>
      </c>
      <c r="Y8" s="158">
        <f>IF(SUM(J8)&gt;0,SUM(J7)*SUM(H8)*SUM(I8)/J8^2,"")</f>
        <v>56.414309422643136</v>
      </c>
      <c r="Z8" s="169">
        <f>IF(SUM(J8)&gt;0,H7*I8/J8,"")</f>
        <v>63.689690158432839</v>
      </c>
      <c r="AA8" s="159">
        <f>IF(SUM(J8)&gt;0,I7*H8/J8,"")</f>
        <v>54.208460157652382</v>
      </c>
      <c r="AB8" s="159">
        <f>IF(SUM(Y8)&gt;0,J7*H8*I8/J8^2,"")</f>
        <v>56.414309422643136</v>
      </c>
      <c r="AC8" s="159">
        <f>IF(SUM(Y8)&gt;0,H7*I8/J8,"")</f>
        <v>63.689690158432839</v>
      </c>
      <c r="AD8" s="159">
        <f>IF(SUM(Y8)&gt;0,I7*H8/J8,"")</f>
        <v>54.208460157652382</v>
      </c>
      <c r="AE8" s="158">
        <f>IF(SUM(H7)*SUM(I7)&gt;0, (LN(V8)-LN($J$22))^2/(1/H7 + 1/I7),"")</f>
        <v>0.87465387852924881</v>
      </c>
      <c r="AF8" s="159">
        <f>IF(SUM(J8)&gt;0, (H7*I8^2+I7*H8^2)/J8^2,"")</f>
        <v>61.483840893442085</v>
      </c>
      <c r="AG8" s="159">
        <f t="shared" ref="AG8" si="0">AI8</f>
        <v>2287.4574260516661</v>
      </c>
      <c r="AH8" s="159">
        <f>IF(SUM(J8)&gt;0,H7/H8^2+I7/I8^2,"")</f>
        <v>1.1750462220403521E-5</v>
      </c>
      <c r="AI8" s="159">
        <f>IF(SUM(J8)&gt;0,H8*I8/J8,"")</f>
        <v>2287.4574260516661</v>
      </c>
      <c r="AJ8" s="159">
        <f t="shared" ref="AJ8" si="1">IF(SUM(AH8)&gt;0,AI8*U8,"")</f>
        <v>9.4812300007804566</v>
      </c>
      <c r="AK8" s="158">
        <f>IF(SUM(H7)*SUM(I7)&gt;0, (U8-$J$31)^2/(AH8),"")</f>
        <v>0.52762181237202377</v>
      </c>
    </row>
    <row r="9" spans="1:37" x14ac:dyDescent="0.15">
      <c r="A9" s="10"/>
      <c r="D9" s="17" t="str">
        <f>IF(V7&lt;&gt;"","IRR=","")</f>
        <v>IRR=</v>
      </c>
      <c r="E9" s="195">
        <f>V7</f>
        <v>1.0008980785296575</v>
      </c>
      <c r="F9" s="195"/>
      <c r="G9" s="18"/>
      <c r="H9" s="17" t="str">
        <f>IF(V8&lt;&gt;"","IRR=","")</f>
        <v>IRR=</v>
      </c>
      <c r="I9" s="195">
        <f>V8</f>
        <v>1.1749031419303659</v>
      </c>
      <c r="J9" s="195"/>
      <c r="K9" s="18"/>
      <c r="L9" s="17" t="str">
        <f>IF(V9&lt;&gt;"","IRR=","")</f>
        <v>IRR=</v>
      </c>
      <c r="M9" s="195">
        <f>V9</f>
        <v>1.0066296206378751</v>
      </c>
      <c r="N9" s="195"/>
      <c r="O9" s="18"/>
      <c r="P9" s="17" t="str">
        <f>IF(V10&lt;&gt;"","IRR=","")</f>
        <v/>
      </c>
      <c r="Q9" s="195" t="str">
        <f>V10</f>
        <v/>
      </c>
      <c r="R9" s="196"/>
      <c r="T9" s="30">
        <v>3</v>
      </c>
      <c r="U9" s="169">
        <f>IF(OR(SUM(L8)=0,SUM(M8)=0),"",L7/L8-M7/M8)</f>
        <v>4.0892420931151752E-4</v>
      </c>
      <c r="V9" s="158">
        <f>IF(SUM(Y9)&gt;0,IF(SUM(M7)*SUM(L8)&gt;0,L7*M8/M7/L8,"infinity"),"")</f>
        <v>1.0066296206378751</v>
      </c>
      <c r="W9" s="169">
        <f>IF(L7&gt;0,L7,"")</f>
        <v>341</v>
      </c>
      <c r="X9" s="159">
        <f>IF(SUM(N8)&gt;0,N7*L8/N8,"")</f>
        <v>339.77707745894844</v>
      </c>
      <c r="Y9" s="158">
        <f>IF(SUM(N8)&gt;0,SUM(N7)*SUM(L8)*SUM(M8)/N8^2,"")</f>
        <v>185.02042549307143</v>
      </c>
      <c r="Z9" s="169">
        <f>IF(SUM(N8)&gt;0,L7*M8/N8,"")</f>
        <v>185.68634931166031</v>
      </c>
      <c r="AA9" s="159">
        <f>IF(SUM(N8)&gt;0,M7*L8/N8,"")</f>
        <v>184.46342677060872</v>
      </c>
      <c r="AB9" s="159">
        <f>IF(SUM(Y9)&gt;0,N7*L8*M8/N8^2,"")</f>
        <v>185.02042549307143</v>
      </c>
      <c r="AC9" s="159">
        <f>IF(SUM(Y9)&gt;0,L7*M8/N8,"")</f>
        <v>185.68634931166031</v>
      </c>
      <c r="AD9" s="159">
        <f>IF(SUM(Y9)&gt;0,M7*L8/N8,"")</f>
        <v>184.46342677060872</v>
      </c>
      <c r="AE9" s="158">
        <f>IF(SUM(L7)*SUM(M7)&gt;0, (LN(V9)-LN($J$22))^2/(1/L7 + 1/M7),"")</f>
        <v>0.22716122060063212</v>
      </c>
      <c r="AF9" s="159">
        <f>IF(SUM(N8)&gt;0,(L7*M8^2+M7*L8^2)/N8^2, "")</f>
        <v>185.1293505891976</v>
      </c>
      <c r="AG9" s="159">
        <f>AI9</f>
        <v>2990.5848399402885</v>
      </c>
      <c r="AH9" s="159">
        <f>IF(SUM(N8)&gt;0,L7/L8^2+M7/M8^2,"")</f>
        <v>2.0699650980741476E-5</v>
      </c>
      <c r="AI9" s="159">
        <f>IF(SUM(N8)&gt;0,L8*M8/N8,"")</f>
        <v>2990.5848399402885</v>
      </c>
      <c r="AJ9" s="159">
        <f>IF(SUM(AH9)&gt;0,AI9*U9,"")</f>
        <v>1.2229225410515936</v>
      </c>
      <c r="AK9" s="158">
        <f>IF(SUM(L7)*SUM(M7)&gt;0, (U9-$J$31)^2/(AH9),"")</f>
        <v>7.500361953325542E-2</v>
      </c>
    </row>
    <row r="10" spans="1:37" x14ac:dyDescent="0.15">
      <c r="A10" s="10"/>
      <c r="D10" s="17" t="str">
        <f>IF(U7&lt;&gt;"","IRD=","")</f>
        <v>IRD=</v>
      </c>
      <c r="E10" s="213">
        <f>U7</f>
        <v>1.003528686917797E-5</v>
      </c>
      <c r="F10" s="213"/>
      <c r="G10" s="18"/>
      <c r="H10" s="17" t="str">
        <f>IF(U8&lt;&gt;"","IRD=","")</f>
        <v>IRD=</v>
      </c>
      <c r="I10" s="213">
        <f>U8</f>
        <v>4.1448771429795812E-3</v>
      </c>
      <c r="J10" s="213"/>
      <c r="K10" s="18"/>
      <c r="L10" s="17" t="str">
        <f>IF(U9&lt;&gt;"","IRD=","")</f>
        <v>IRD=</v>
      </c>
      <c r="M10" s="213">
        <f>U9</f>
        <v>4.0892420931151752E-4</v>
      </c>
      <c r="N10" s="213"/>
      <c r="O10" s="18"/>
      <c r="P10" s="17" t="str">
        <f>IF(U10&lt;&gt;"","IRD=","")</f>
        <v/>
      </c>
      <c r="Q10" s="213" t="str">
        <f>U10</f>
        <v/>
      </c>
      <c r="R10" s="214"/>
      <c r="T10" s="30">
        <v>4</v>
      </c>
      <c r="U10" s="169" t="str">
        <f>IF(OR(SUM(P8)=0,SUM(Q8)=0),"",P7/P8-Q7/Q8)</f>
        <v/>
      </c>
      <c r="V10" s="158" t="str">
        <f>IF(SUM(Y10)&gt;0,IF(SUM(Q7)*SUM(P8)&gt;0,P7*Q8/Q7/P8,"infinity"),"")</f>
        <v/>
      </c>
      <c r="W10" s="169" t="str">
        <f>IF(P7&gt;0,P7,"")</f>
        <v/>
      </c>
      <c r="X10" s="159" t="str">
        <f>IF(SUM(R8)&gt;0,R7*P8/R8,"")</f>
        <v/>
      </c>
      <c r="Y10" s="158" t="str">
        <f>IF(SUM(R8)&gt;0,SUM(R7)*SUM(P8)*SUM(Q8)/R8^2,"")</f>
        <v/>
      </c>
      <c r="Z10" s="169" t="str">
        <f>IF(SUM(R8)&gt;0,P7*Q8/R8,"")</f>
        <v/>
      </c>
      <c r="AA10" s="159" t="str">
        <f>IF(SUM(R8)&gt;0,P8*Q7/R8,"")</f>
        <v/>
      </c>
      <c r="AB10" s="159" t="str">
        <f>IF(SUM(Y10)&gt;0,R7*P8*Q8/R8^2,"")</f>
        <v/>
      </c>
      <c r="AC10" s="159" t="str">
        <f>IF(SUM(Y10)&gt;0,P7*Q8/R8,"")</f>
        <v/>
      </c>
      <c r="AD10" s="159" t="str">
        <f>IF(SUM(Y10)&gt;0,Q7*P8/R8,"")</f>
        <v/>
      </c>
      <c r="AE10" s="158" t="str">
        <f>IF(SUM(P7)*SUM(Q7)&gt;0, (LN(V10)-LN($J$22))^2/(1/P7 + 1/Q7),"")</f>
        <v/>
      </c>
      <c r="AF10" s="159" t="str">
        <f>IF(SUM(R8)&gt;0,(P7*Q8^2+Q7*P8^2)/R8^2,"")</f>
        <v/>
      </c>
      <c r="AG10" s="159" t="str">
        <f>AI10</f>
        <v/>
      </c>
      <c r="AH10" s="159" t="str">
        <f>IF(SUM(R8)&gt;0,P7/P8^2+Q7/Q8^2,"")</f>
        <v/>
      </c>
      <c r="AI10" s="159" t="str">
        <f>IF(SUM(R8)&gt;0,P8*Q8/R8,"")</f>
        <v/>
      </c>
      <c r="AJ10" s="159" t="str">
        <f t="shared" ref="AJ10:AJ17" si="2">IF(SUM(AH10)&gt;0,AI10*U10,"")</f>
        <v/>
      </c>
      <c r="AK10" s="158" t="str">
        <f>IF(SUM(P7)*SUM(Q7)&gt;0, (U10-$J$31)^2/(AH10),"")</f>
        <v/>
      </c>
    </row>
    <row r="11" spans="1:37" x14ac:dyDescent="0.15">
      <c r="A11" s="10" t="s">
        <v>36</v>
      </c>
      <c r="D11" s="11"/>
      <c r="E11" s="11"/>
      <c r="F11" s="12" t="str">
        <f>IF(AND(D11="",E11=""),"",SUM(D11,E11))</f>
        <v/>
      </c>
      <c r="H11" s="11"/>
      <c r="I11" s="11"/>
      <c r="J11" s="12" t="str">
        <f>IF(AND(H11="",I11=""),"",SUM(H11,I11))</f>
        <v/>
      </c>
      <c r="L11" s="11"/>
      <c r="M11" s="11"/>
      <c r="N11" s="12" t="str">
        <f>IF(AND(L11="",M11=""),"",SUM(L11,M11))</f>
        <v/>
      </c>
      <c r="P11" s="11"/>
      <c r="Q11" s="11"/>
      <c r="R11" s="13" t="str">
        <f>IF(AND(P11="",Q11=""),"",SUM(P11,Q11))</f>
        <v/>
      </c>
      <c r="T11" s="30">
        <v>5</v>
      </c>
      <c r="U11" s="169" t="str">
        <f>IF(OR(SUM(D12)=0,SUM(E12)=0),"",D11/D12-E11/E12)</f>
        <v/>
      </c>
      <c r="V11" s="158" t="str">
        <f>IF(SUM(Y11)&gt;0,IF(SUM(E11)*SUM(D12)&gt;0,D11*E12/E11/D12,"infinity"),"")</f>
        <v/>
      </c>
      <c r="W11" s="169" t="str">
        <f>IF(D11&gt;0,D11,"")</f>
        <v/>
      </c>
      <c r="X11" s="159" t="str">
        <f>IF(SUM(F12)&gt;0,F11*D12/F12,"")</f>
        <v/>
      </c>
      <c r="Y11" s="158" t="str">
        <f>IF(SUM(F12)&gt;0,SUM(F11)*SUM(D12)*SUM(E12)/F12^2,"")</f>
        <v/>
      </c>
      <c r="Z11" s="169" t="str">
        <f>IF(SUM(F12)&gt;0,D11*E12/F12,"")</f>
        <v/>
      </c>
      <c r="AA11" s="159" t="str">
        <f>IF(SUM(F12)&gt;0,E11*D12/F12,"")</f>
        <v/>
      </c>
      <c r="AB11" s="159" t="str">
        <f>IF(SUM(Y11)&gt;0,F11*D12*E12/F12^2,"")</f>
        <v/>
      </c>
      <c r="AC11" s="159" t="str">
        <f>IF(SUM(Y11)&gt;0,D11*E12/F12,"")</f>
        <v/>
      </c>
      <c r="AD11" s="159" t="str">
        <f>IF(SUM(Y11)&gt;0,E11*D12/F12,"")</f>
        <v/>
      </c>
      <c r="AE11" s="158" t="str">
        <f>IF(SUM(D11)*SUM(E11)&gt;0, (LN(V11)-LN($J$22))^2/(1/D11 + 1/E11),"")</f>
        <v/>
      </c>
      <c r="AF11" s="159" t="str">
        <f>IF(SUM(F12)&gt;0,(D11*E12^2+E11*D12^2)/F12^2,"")</f>
        <v/>
      </c>
      <c r="AG11" s="159" t="str">
        <f>AI11</f>
        <v/>
      </c>
      <c r="AH11" s="159" t="str">
        <f>IF(SUM(F12)&gt;0,D11/D12^2+E11/E12^2,"")</f>
        <v/>
      </c>
      <c r="AI11" s="159" t="str">
        <f>IF(SUM(F12)&gt;0,D12*E12/F12,"")</f>
        <v/>
      </c>
      <c r="AJ11" s="159" t="str">
        <f t="shared" si="2"/>
        <v/>
      </c>
      <c r="AK11" s="158" t="str">
        <f>IF(SUM(D11)*SUM(E11)&gt;0, (U11-$J$31)^2/(AH11),"")</f>
        <v/>
      </c>
    </row>
    <row r="12" spans="1:37" x14ac:dyDescent="0.15">
      <c r="A12" s="10" t="s">
        <v>69</v>
      </c>
      <c r="D12" s="110"/>
      <c r="E12" s="110"/>
      <c r="F12" s="111" t="str">
        <f>IF(SUM(D12,E12)=0,"",SUM(D12,E12))</f>
        <v/>
      </c>
      <c r="H12" s="110"/>
      <c r="I12" s="110"/>
      <c r="J12" s="111" t="str">
        <f>IF(SUM(H12,I12)=0,"",SUM(H12,I12))</f>
        <v/>
      </c>
      <c r="L12" s="110"/>
      <c r="M12" s="110"/>
      <c r="N12" s="111" t="str">
        <f>IF(SUM(L12,M12)=0,"",SUM(L12,M12))</f>
        <v/>
      </c>
      <c r="P12" s="110"/>
      <c r="Q12" s="110"/>
      <c r="R12" s="112" t="str">
        <f>IF(SUM(P12,Q12)=0,"",SUM(P12,Q12))</f>
        <v/>
      </c>
      <c r="T12" s="30">
        <v>6</v>
      </c>
      <c r="U12" s="169" t="str">
        <f>IF(OR(SUM(H12)=0,SUM(I12)=0),"",H11/H12-I11/I12)</f>
        <v/>
      </c>
      <c r="V12" s="158" t="str">
        <f>IF(SUM(Y12)&gt;0,IF(SUM(I11)*SUM(H12)&gt;0,H11*I12/I11/H12,"infinity"),"")</f>
        <v/>
      </c>
      <c r="W12" s="169" t="str">
        <f>IF(H11&gt;0,H11,"")</f>
        <v/>
      </c>
      <c r="X12" s="159" t="str">
        <f>IF(SUM(J12)&gt;0,J11*H12/J12,"")</f>
        <v/>
      </c>
      <c r="Y12" s="158" t="str">
        <f>IF(SUM(J12)&gt;0,SUM(J11)*SUM(H12)*SUM(I12)/J12^2,"")</f>
        <v/>
      </c>
      <c r="Z12" s="169" t="str">
        <f>IF(SUM(J12)&gt;0,H11*I12/J12,"")</f>
        <v/>
      </c>
      <c r="AA12" s="159" t="str">
        <f>IF(SUM(J12)&gt;0,I11*H12/J12,"")</f>
        <v/>
      </c>
      <c r="AB12" s="159" t="str">
        <f>IF(SUM(Y12)&gt;0,J11*H12*I12/J12^2,"")</f>
        <v/>
      </c>
      <c r="AC12" s="159" t="str">
        <f>IF(SUM(Y12)&gt;0,H11*I12/J12,"")</f>
        <v/>
      </c>
      <c r="AD12" s="159" t="str">
        <f>IF(SUM(Y12)&gt;0,I11*H12/J12,"")</f>
        <v/>
      </c>
      <c r="AE12" s="158" t="str">
        <f>IF(SUM(H11)*SUM(I11)&gt;0, (LN(V12)-LN($J$22))^2/(1/H11 + 1/I11),"")</f>
        <v/>
      </c>
      <c r="AF12" s="159" t="str">
        <f>IF(SUM(J12)&gt;0, (H11*I12^2+I11*H12^2)/J12^2,"")</f>
        <v/>
      </c>
      <c r="AG12" s="159" t="str">
        <f t="shared" ref="AG12" si="3">AI12</f>
        <v/>
      </c>
      <c r="AH12" s="170" t="str">
        <f>IF(SUM(J12)&gt;0,H11/H12^2+I11/I12^2,"")</f>
        <v/>
      </c>
      <c r="AI12" s="159" t="str">
        <f>IF(SUM(J12)&gt;0,H12*I12/J12,"")</f>
        <v/>
      </c>
      <c r="AJ12" s="159" t="str">
        <f t="shared" si="2"/>
        <v/>
      </c>
      <c r="AK12" s="158" t="str">
        <f>IF(SUM(H11)*SUM(I11)&gt;0, (U12-$J$31)^2/(AH12),"")</f>
        <v/>
      </c>
    </row>
    <row r="13" spans="1:37" x14ac:dyDescent="0.15">
      <c r="A13" s="10"/>
      <c r="D13" s="17" t="str">
        <f>IF(V11&lt;&gt;"","IRR=","")</f>
        <v/>
      </c>
      <c r="E13" s="195" t="str">
        <f>V11</f>
        <v/>
      </c>
      <c r="F13" s="195"/>
      <c r="G13" s="18"/>
      <c r="H13" s="17" t="str">
        <f>IF(V12&lt;&gt;"","IRR=","")</f>
        <v/>
      </c>
      <c r="I13" s="195" t="str">
        <f>V12</f>
        <v/>
      </c>
      <c r="J13" s="195"/>
      <c r="K13" s="18"/>
      <c r="L13" s="17" t="str">
        <f>IF(V13&lt;&gt;"","IRR=","")</f>
        <v/>
      </c>
      <c r="M13" s="195" t="str">
        <f>V13</f>
        <v/>
      </c>
      <c r="N13" s="195"/>
      <c r="O13" s="18"/>
      <c r="P13" s="17" t="str">
        <f>IF(V14&lt;&gt;"","IRR=","")</f>
        <v/>
      </c>
      <c r="Q13" s="195" t="str">
        <f>V14</f>
        <v/>
      </c>
      <c r="R13" s="196"/>
      <c r="T13" s="30">
        <v>7</v>
      </c>
      <c r="U13" s="169" t="str">
        <f>IF(OR(SUM(L12)=0,SUM(M12)=0),"",L11/L12-M11/M12)</f>
        <v/>
      </c>
      <c r="V13" s="158" t="str">
        <f>IF(SUM(Y13)&gt;0,IF(SUM(M11)*SUM(L12)&gt;0,L11*M12/M11/L12,"infinity"),"")</f>
        <v/>
      </c>
      <c r="W13" s="169" t="str">
        <f>IF(L11&gt;0,L11,"")</f>
        <v/>
      </c>
      <c r="X13" s="159" t="str">
        <f>IF(SUM(N12)&gt;0,N11*L12/N12,"")</f>
        <v/>
      </c>
      <c r="Y13" s="158" t="str">
        <f>IF(SUM(N12)&gt;0,SUM(N11)*SUM(L12)*SUM(M12)/N12^2,"")</f>
        <v/>
      </c>
      <c r="Z13" s="169" t="str">
        <f>IF(SUM(N12)&gt;0,L11*M12/N12,"")</f>
        <v/>
      </c>
      <c r="AA13" s="159" t="str">
        <f>IF(SUM(N12)&gt;0,M11*L12/N12,"")</f>
        <v/>
      </c>
      <c r="AB13" s="159" t="str">
        <f>IF(SUM(Y13)&gt;0,N11*L12*M12/N12^2,"")</f>
        <v/>
      </c>
      <c r="AC13" s="159" t="str">
        <f>IF(SUM(Y13)&gt;0,L11*M12/N12,"")</f>
        <v/>
      </c>
      <c r="AD13" s="159" t="str">
        <f>IF(SUM(Y13)&gt;0,M11*L12/N12,"")</f>
        <v/>
      </c>
      <c r="AE13" s="158" t="str">
        <f>IF(SUM(L11)*SUM(M11)&gt;0, (LN(V13)-LN($J$22))^2/(1/L11 + 1/M11),"")</f>
        <v/>
      </c>
      <c r="AF13" s="159" t="str">
        <f>IF(SUM(N12)&gt;0,(L11*M12^2+M11*L12^2)/N12^2, "")</f>
        <v/>
      </c>
      <c r="AG13" s="159" t="str">
        <f>AI13</f>
        <v/>
      </c>
      <c r="AH13" s="170" t="str">
        <f>IF(SUM(N12)&gt;0,L11/L12^2+M11/M12^2,"")</f>
        <v/>
      </c>
      <c r="AI13" s="159" t="str">
        <f>IF(SUM(N12)&gt;0,L12*M12/N12,"")</f>
        <v/>
      </c>
      <c r="AJ13" s="159" t="str">
        <f t="shared" si="2"/>
        <v/>
      </c>
      <c r="AK13" s="158" t="str">
        <f>IF(SUM(L11)*SUM(M11)&gt;0, (U13-$J$31)^2/(AH13),"")</f>
        <v/>
      </c>
    </row>
    <row r="14" spans="1:37" x14ac:dyDescent="0.15">
      <c r="A14" s="10"/>
      <c r="D14" s="17" t="str">
        <f>IF(U11&lt;&gt;"","IRD=","")</f>
        <v/>
      </c>
      <c r="E14" s="213" t="str">
        <f>U11</f>
        <v/>
      </c>
      <c r="F14" s="213"/>
      <c r="G14" s="18"/>
      <c r="H14" s="17" t="str">
        <f>IF(U12&lt;&gt;"","IRD=","")</f>
        <v/>
      </c>
      <c r="I14" s="213" t="str">
        <f>U12</f>
        <v/>
      </c>
      <c r="J14" s="213"/>
      <c r="K14" s="18"/>
      <c r="L14" s="17" t="str">
        <f>IF(U13&lt;&gt;"","IRD=","")</f>
        <v/>
      </c>
      <c r="M14" s="213" t="str">
        <f>U13</f>
        <v/>
      </c>
      <c r="N14" s="213"/>
      <c r="O14" s="18"/>
      <c r="P14" s="17" t="str">
        <f>IF(U14&lt;&gt;"","IRD=","")</f>
        <v/>
      </c>
      <c r="Q14" s="213" t="str">
        <f>U14</f>
        <v/>
      </c>
      <c r="R14" s="214"/>
      <c r="T14" s="30">
        <v>8</v>
      </c>
      <c r="U14" s="169" t="str">
        <f>IF(OR(SUM(P12)=0,SUM(Q12)=0),"",P11/P12-Q11/Q12)</f>
        <v/>
      </c>
      <c r="V14" s="158" t="str">
        <f>IF(SUM(Y14)&gt;0,IF(SUM(Q11)*SUM(P12)&gt;0,P11*Q12/Q11/P12,"infinity"),"")</f>
        <v/>
      </c>
      <c r="W14" s="169" t="str">
        <f>IF(P11&gt;0,P11,"")</f>
        <v/>
      </c>
      <c r="X14" s="159" t="str">
        <f>IF(SUM(R12)&gt;0,R11*P12/R12,"")</f>
        <v/>
      </c>
      <c r="Y14" s="158" t="str">
        <f>IF(SUM(R12)&gt;0,SUM(R11)*SUM(P12)*SUM(Q12)/R12^2,"")</f>
        <v/>
      </c>
      <c r="Z14" s="169" t="str">
        <f>IF(SUM(R12)&gt;0,P11*Q12/R12,"")</f>
        <v/>
      </c>
      <c r="AA14" s="159" t="str">
        <f>IF(SUM(R12)&gt;0,P12*Q11/R12,"")</f>
        <v/>
      </c>
      <c r="AB14" s="159" t="str">
        <f>IF(SUM(Y14)&gt;0,R11*P12*Q12/R12^2,"")</f>
        <v/>
      </c>
      <c r="AC14" s="159" t="str">
        <f>IF(SUM(Y14)&gt;0,P11*Q12/R12,"")</f>
        <v/>
      </c>
      <c r="AD14" s="159" t="str">
        <f>IF(SUM(Y14)&gt;0,Q11*P12/R12,"")</f>
        <v/>
      </c>
      <c r="AE14" s="158" t="str">
        <f>IF(SUM(P11)*SUM(Q11)&gt;0, (LN(V14)-LN($J$22))^2/(1/P11 + 1/Q11),"")</f>
        <v/>
      </c>
      <c r="AF14" s="159" t="str">
        <f>IF(SUM(R12)&gt;0,(P11*Q12^2+Q11*P12^2)/R12^2,"")</f>
        <v/>
      </c>
      <c r="AG14" s="159" t="str">
        <f>AI14</f>
        <v/>
      </c>
      <c r="AH14" s="170" t="str">
        <f>IF(SUM(R12)&gt;0,P11/P12^2+Q11/Q12^2,"")</f>
        <v/>
      </c>
      <c r="AI14" s="159" t="str">
        <f>IF(SUM(R12)&gt;0,P12*Q12/R12,"")</f>
        <v/>
      </c>
      <c r="AJ14" s="159" t="str">
        <f t="shared" si="2"/>
        <v/>
      </c>
      <c r="AK14" s="158" t="str">
        <f>IF(SUM(P11)*SUM(Q11)&gt;0, (U14-$J$31)^2/(AH14),"")</f>
        <v/>
      </c>
    </row>
    <row r="15" spans="1:37" x14ac:dyDescent="0.15">
      <c r="A15" s="10" t="s">
        <v>36</v>
      </c>
      <c r="D15" s="11"/>
      <c r="E15" s="11"/>
      <c r="F15" s="12" t="str">
        <f>IF(AND(D15="",E15=""),"",SUM(D15,E15))</f>
        <v/>
      </c>
      <c r="H15" s="11"/>
      <c r="I15" s="11"/>
      <c r="J15" s="12" t="str">
        <f>IF(AND(H15="",I15=""),"",SUM(H15,I15))</f>
        <v/>
      </c>
      <c r="L15" s="11"/>
      <c r="M15" s="11"/>
      <c r="N15" s="12" t="str">
        <f>IF(AND(L15="",M15=""),"",SUM(L15,M15))</f>
        <v/>
      </c>
      <c r="P15" s="11"/>
      <c r="Q15" s="11"/>
      <c r="R15" s="13" t="str">
        <f>IF(AND(P15="",Q15=""),"",SUM(P15,Q15))</f>
        <v/>
      </c>
      <c r="T15" s="30">
        <v>9</v>
      </c>
      <c r="U15" s="169" t="str">
        <f>IF(OR(SUM(D16)=0,SUM(E16)=0),"",D15/D16-E15/E16)</f>
        <v/>
      </c>
      <c r="V15" s="158" t="str">
        <f>IF(SUM(Y15)&gt;0,IF(SUM(E15)*SUM(D16)&gt;0,D15*E16/E15/D16,"infinity"),"")</f>
        <v/>
      </c>
      <c r="W15" s="169" t="str">
        <f>IF(D15&gt;0,D15,"")</f>
        <v/>
      </c>
      <c r="X15" s="159" t="str">
        <f>IF(SUM(F16)&gt;0,F15*D16/F16,"")</f>
        <v/>
      </c>
      <c r="Y15" s="158" t="str">
        <f>IF(SUM(F16)&gt;0,SUM(F15)*SUM(D16)*SUM(E16)/F16^2,"")</f>
        <v/>
      </c>
      <c r="Z15" s="169" t="str">
        <f>IF(SUM(F16)&gt;0,D15*E16/F16,"")</f>
        <v/>
      </c>
      <c r="AA15" s="159" t="str">
        <f>IF(SUM(F16)&gt;0,E15*D16/F16,"")</f>
        <v/>
      </c>
      <c r="AB15" s="159" t="str">
        <f>IF(SUM(Y15)&gt;0,F15*D16*E16/F16^2,"")</f>
        <v/>
      </c>
      <c r="AC15" s="159" t="str">
        <f>IF(SUM(Y15)&gt;0,D15*E16/F16,"")</f>
        <v/>
      </c>
      <c r="AD15" s="159" t="str">
        <f>IF(SUM(Y15)&gt;0,E15*D16/F16,"")</f>
        <v/>
      </c>
      <c r="AE15" s="158" t="str">
        <f>IF(SUM(D15)*SUM(E15)&gt;0, (LN(V15)-LN($J$22))^2/(1/D15 + 1/E15),"")</f>
        <v/>
      </c>
      <c r="AF15" s="159" t="str">
        <f>IF(SUM(F16)&gt;0,(D15*E16^2+E15*D16^2)/F16^2,"")</f>
        <v/>
      </c>
      <c r="AG15" s="159" t="str">
        <f>AI15</f>
        <v/>
      </c>
      <c r="AH15" s="170" t="str">
        <f>IF(SUM(F16)&gt;0,D15/D16^2+E15/E16^2,"")</f>
        <v/>
      </c>
      <c r="AI15" s="159" t="str">
        <f>IF(SUM(F16)&gt;0,D16*E16/F16,"")</f>
        <v/>
      </c>
      <c r="AJ15" s="159" t="str">
        <f t="shared" si="2"/>
        <v/>
      </c>
      <c r="AK15" s="158" t="str">
        <f>IF(SUM(D15)*SUM(E15)&gt;0, (U15-$J$31)^2/(AH15),"")</f>
        <v/>
      </c>
    </row>
    <row r="16" spans="1:37" x14ac:dyDescent="0.15">
      <c r="A16" s="10" t="s">
        <v>69</v>
      </c>
      <c r="D16" s="110"/>
      <c r="E16" s="110"/>
      <c r="F16" s="111" t="str">
        <f>IF(SUM(D16,E16)=0,"",SUM(D16,E16))</f>
        <v/>
      </c>
      <c r="H16" s="110"/>
      <c r="I16" s="110"/>
      <c r="J16" s="111" t="str">
        <f>IF(SUM(H16,I16)=0,"",SUM(H16,I16))</f>
        <v/>
      </c>
      <c r="L16" s="110"/>
      <c r="M16" s="110"/>
      <c r="N16" s="111" t="str">
        <f>IF(SUM(L16,M16)=0,"",SUM(L16,M16))</f>
        <v/>
      </c>
      <c r="P16" s="110"/>
      <c r="Q16" s="110"/>
      <c r="R16" s="112" t="str">
        <f>IF(SUM(P16,Q16)=0,"",SUM(P16,Q16))</f>
        <v/>
      </c>
      <c r="T16" s="30">
        <v>10</v>
      </c>
      <c r="U16" s="169" t="str">
        <f>IF(OR(SUM(H16)=0,SUM(I16)=0),"",H15/H16-I15/I16)</f>
        <v/>
      </c>
      <c r="V16" s="158" t="str">
        <f>IF(SUM(Y16)&gt;0,IF(SUM(I15)*SUM(H16)&gt;0,H15*I16/I15/H16,"infinity"),"")</f>
        <v/>
      </c>
      <c r="W16" s="169" t="str">
        <f>IF(H15&gt;0,H15,"")</f>
        <v/>
      </c>
      <c r="X16" s="159" t="str">
        <f>IF(SUM(J16)&gt;0,J15*H16/J16,"")</f>
        <v/>
      </c>
      <c r="Y16" s="158" t="str">
        <f>IF(SUM(J16)&gt;0,SUM(J15)*SUM(H16)*SUM(I16)/J16^2,"")</f>
        <v/>
      </c>
      <c r="Z16" s="169" t="str">
        <f>IF(SUM(J16)&gt;0,H15*I16/J16,"")</f>
        <v/>
      </c>
      <c r="AA16" s="159" t="str">
        <f>IF(SUM(J16)&gt;0,I15*H16/J16,"")</f>
        <v/>
      </c>
      <c r="AB16" s="159" t="str">
        <f>IF(SUM(Y16)&gt;0,J15*H16*I16/J16^2,"")</f>
        <v/>
      </c>
      <c r="AC16" s="159" t="str">
        <f>IF(SUM(Y16)&gt;0,H15*I16/J16,"")</f>
        <v/>
      </c>
      <c r="AD16" s="159" t="str">
        <f>IF(SUM(Y16)&gt;0,I15*H16/J16,"")</f>
        <v/>
      </c>
      <c r="AE16" s="158" t="str">
        <f>IF(SUM(H15)*SUM(I15)&gt;0, (LN(V16)-LN($J$22))^2/(1/H15 + 1/I15),"")</f>
        <v/>
      </c>
      <c r="AF16" s="159" t="str">
        <f>IF(SUM(J16)&gt;0, (H15*I16^2+I15*H16^2)/J16^2,"")</f>
        <v/>
      </c>
      <c r="AG16" s="159" t="str">
        <f t="shared" ref="AG16" si="4">AI16</f>
        <v/>
      </c>
      <c r="AH16" s="170" t="str">
        <f>IF(SUM(J16)&gt;0,H15/H16^2+I15/I16^2,"")</f>
        <v/>
      </c>
      <c r="AI16" s="159" t="str">
        <f>IF(SUM(J16)&gt;0,H16*I16/J16,"")</f>
        <v/>
      </c>
      <c r="AJ16" s="159" t="str">
        <f t="shared" si="2"/>
        <v/>
      </c>
      <c r="AK16" s="158" t="str">
        <f>IF(SUM(H15)*SUM(I15)&gt;0, (U16-$J$31)^2/(AH16),"")</f>
        <v/>
      </c>
    </row>
    <row r="17" spans="1:37" x14ac:dyDescent="0.15">
      <c r="A17" s="10"/>
      <c r="D17" s="17" t="str">
        <f>IF(V15&lt;&gt;"","IRR=","")</f>
        <v/>
      </c>
      <c r="E17" s="195" t="str">
        <f>V15</f>
        <v/>
      </c>
      <c r="F17" s="195"/>
      <c r="G17" s="18"/>
      <c r="H17" s="17" t="str">
        <f>IF(V16&lt;&gt;"","IRR=","")</f>
        <v/>
      </c>
      <c r="I17" s="195" t="str">
        <f>V16</f>
        <v/>
      </c>
      <c r="J17" s="195"/>
      <c r="K17" s="18"/>
      <c r="L17" s="17" t="str">
        <f>IF(V17&lt;&gt;"","IRR=","")</f>
        <v/>
      </c>
      <c r="M17" s="195" t="str">
        <f>V17</f>
        <v/>
      </c>
      <c r="N17" s="195"/>
      <c r="O17" s="18"/>
      <c r="P17" s="17" t="str">
        <f>IF(V18&lt;&gt;"","IRR=","")</f>
        <v/>
      </c>
      <c r="Q17" s="195" t="str">
        <f>V18</f>
        <v/>
      </c>
      <c r="R17" s="196"/>
      <c r="T17" s="30">
        <v>11</v>
      </c>
      <c r="U17" s="169" t="str">
        <f>IF(OR(SUM(L16)=0,SUM(M16)=0),"",L15/L16-M15/M16)</f>
        <v/>
      </c>
      <c r="V17" s="158" t="str">
        <f>IF(SUM(Y17)&gt;0,IF(SUM(M15)*SUM(L16)&gt;0,L15*M16/M15/L16,"infinity"),"")</f>
        <v/>
      </c>
      <c r="W17" s="169" t="str">
        <f>IF(L15&gt;0,L15,"")</f>
        <v/>
      </c>
      <c r="X17" s="159" t="str">
        <f>IF(SUM(N16)&gt;0,N15*L16/N16,"")</f>
        <v/>
      </c>
      <c r="Y17" s="158" t="str">
        <f>IF(SUM(N16)&gt;0,SUM(N15)*SUM(L16)*SUM(M16)/N16^2,"")</f>
        <v/>
      </c>
      <c r="Z17" s="169" t="str">
        <f>IF(SUM(N16)&gt;0,L15*M16/N16,"")</f>
        <v/>
      </c>
      <c r="AA17" s="159" t="str">
        <f>IF(SUM(N16)&gt;0,M15*L16/N16,"")</f>
        <v/>
      </c>
      <c r="AB17" s="159" t="str">
        <f>IF(SUM(Y17)&gt;0,N15*L16*M16/N16^2,"")</f>
        <v/>
      </c>
      <c r="AC17" s="159" t="str">
        <f>IF(SUM(Y17)&gt;0,L15*M16/N16,"")</f>
        <v/>
      </c>
      <c r="AD17" s="159" t="str">
        <f>IF(SUM(Y17)&gt;0,M15*L16/N16,"")</f>
        <v/>
      </c>
      <c r="AE17" s="158" t="str">
        <f>IF(SUM(L15)*SUM(M15)&gt;0, (LN(V17)-LN($J$22))^2/(1/L15 + 1/M15),"")</f>
        <v/>
      </c>
      <c r="AF17" s="159" t="str">
        <f>IF(SUM(N16)&gt;0,(L15*M16^2+M15*L16^2)/N16^2, "")</f>
        <v/>
      </c>
      <c r="AG17" s="159" t="str">
        <f>AI17</f>
        <v/>
      </c>
      <c r="AH17" s="170" t="str">
        <f>IF(SUM(N16)&gt;0,L15/L16^2+M15/M16^2,"")</f>
        <v/>
      </c>
      <c r="AI17" s="159" t="str">
        <f>IF(SUM(N16)&gt;0,L16*M16/N16,"")</f>
        <v/>
      </c>
      <c r="AJ17" s="159" t="str">
        <f t="shared" si="2"/>
        <v/>
      </c>
      <c r="AK17" s="158" t="str">
        <f>IF(SUM(L15)*SUM(M15)&gt;0, (U17-$J$31)^2/(AH17),"")</f>
        <v/>
      </c>
    </row>
    <row r="18" spans="1:37" ht="14" thickBot="1" x14ac:dyDescent="0.2">
      <c r="A18" s="19"/>
      <c r="B18" s="20"/>
      <c r="C18" s="20"/>
      <c r="D18" s="21" t="str">
        <f>IF(U15&lt;&gt;"","IRD=","")</f>
        <v/>
      </c>
      <c r="E18" s="211" t="str">
        <f>U15</f>
        <v/>
      </c>
      <c r="F18" s="211"/>
      <c r="G18" s="22"/>
      <c r="H18" s="21" t="str">
        <f>IF(U16&lt;&gt;"","IRD=","")</f>
        <v/>
      </c>
      <c r="I18" s="211" t="str">
        <f>U16</f>
        <v/>
      </c>
      <c r="J18" s="211"/>
      <c r="K18" s="22"/>
      <c r="L18" s="21" t="str">
        <f>IF(U17&lt;&gt;"","IRD=","")</f>
        <v/>
      </c>
      <c r="M18" s="211" t="str">
        <f>U17</f>
        <v/>
      </c>
      <c r="N18" s="211"/>
      <c r="O18" s="22"/>
      <c r="P18" s="21" t="str">
        <f>IF(U18&lt;&gt;"","IRD=","")</f>
        <v/>
      </c>
      <c r="Q18" s="211" t="str">
        <f>U18</f>
        <v/>
      </c>
      <c r="R18" s="212"/>
      <c r="T18" s="30">
        <v>12</v>
      </c>
      <c r="U18" s="171" t="str">
        <f>IF(OR(SUM(P16)=0,SUM(Q16)=0),"",P15/P16-Q15/Q16)</f>
        <v/>
      </c>
      <c r="V18" s="172" t="str">
        <f>IF(SUM(Y18)&gt;0,IF(SUM(Q15)*SUM(P16)&gt;0,P15*Q16/Q15/P16,"infinity"),"")</f>
        <v/>
      </c>
      <c r="W18" s="171" t="str">
        <f>IF(P15&gt;0,P15,"")</f>
        <v/>
      </c>
      <c r="X18" s="173" t="str">
        <f>IF(SUM(R16)&gt;0,R15*P16/R16,"")</f>
        <v/>
      </c>
      <c r="Y18" s="172" t="str">
        <f>IF(SUM(R16)&gt;0,SUM(R15)*SUM(P16)*SUM(Q16)/R16^2,"")</f>
        <v/>
      </c>
      <c r="Z18" s="171" t="str">
        <f>IF(SUM(R16)&gt;0,P15*Q16/R16,"")</f>
        <v/>
      </c>
      <c r="AA18" s="173" t="str">
        <f>IF(SUM(R16)&gt;0,P16*Q15/R16,"")</f>
        <v/>
      </c>
      <c r="AB18" s="173" t="str">
        <f>IF(SUM(Y18)&gt;0,R15*P16*Q16/R16^2,"")</f>
        <v/>
      </c>
      <c r="AC18" s="173" t="str">
        <f>IF(SUM(Y18)&gt;0,P15*Q16/R16,"")</f>
        <v/>
      </c>
      <c r="AD18" s="173" t="str">
        <f>IF(SUM(Y18)&gt;0,Q15*P16/R16,"")</f>
        <v/>
      </c>
      <c r="AE18" s="172" t="str">
        <f>IF(SUM(P15)*SUM(Q15)&gt;0, (LN(V18)-LN($J$22))^2/(1/P15 + 1/Q15),"")</f>
        <v/>
      </c>
      <c r="AF18" s="159" t="str">
        <f>IF(SUM(R16)&gt;0,(P15*Q16^2+Q15*P16^2)/R16^2,"")</f>
        <v/>
      </c>
      <c r="AG18" s="159" t="str">
        <f>AI18</f>
        <v/>
      </c>
      <c r="AH18" s="174" t="str">
        <f>IF(SUM(R16)&gt;0,P15/P16^2+Q15/Q16^2,"")</f>
        <v/>
      </c>
      <c r="AI18" s="159" t="str">
        <f>IF(SUM(R16)&gt;0,P16*Q16/R16,"")</f>
        <v/>
      </c>
      <c r="AJ18" s="159" t="str">
        <f>IF(SUM(AH18)&gt;0,AI18*U18,"")</f>
        <v/>
      </c>
      <c r="AK18" s="172" t="str">
        <f>IF(SUM(P15)*SUM(Q15)&gt;0, (U18-$J$31)^2/(AH18),"")</f>
        <v/>
      </c>
    </row>
    <row r="19" spans="1:37" ht="15" thickTop="1" thickBot="1" x14ac:dyDescent="0.2">
      <c r="D19" s="23"/>
      <c r="E19" s="24"/>
      <c r="F19" s="24"/>
      <c r="H19" s="23"/>
      <c r="I19" s="104"/>
      <c r="J19" s="104"/>
      <c r="K19" s="105"/>
      <c r="L19" s="106"/>
      <c r="M19" s="104"/>
      <c r="N19" s="104"/>
      <c r="O19" s="105"/>
      <c r="P19" s="108"/>
      <c r="Q19" s="109"/>
      <c r="R19" s="109"/>
      <c r="T19" s="14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70"/>
      <c r="AI19" s="170"/>
      <c r="AJ19" s="170"/>
      <c r="AK19" s="159"/>
    </row>
    <row r="20" spans="1:37" ht="14" thickTop="1" x14ac:dyDescent="0.15">
      <c r="A20" s="208" t="s">
        <v>38</v>
      </c>
      <c r="B20" s="209"/>
      <c r="C20" s="209"/>
      <c r="D20" s="209"/>
      <c r="E20" s="209"/>
      <c r="F20" s="210"/>
      <c r="H20" s="88" t="s">
        <v>70</v>
      </c>
      <c r="I20" s="24"/>
      <c r="J20" s="24"/>
      <c r="L20" s="23"/>
      <c r="M20" s="24"/>
      <c r="N20" s="24"/>
      <c r="O20" s="83"/>
      <c r="P20" s="23"/>
      <c r="Q20" s="24"/>
      <c r="R20" s="24"/>
      <c r="T20" s="14" t="s">
        <v>40</v>
      </c>
      <c r="U20" s="159"/>
      <c r="V20" s="159"/>
      <c r="W20" s="159">
        <f>IF(SUM(W7:W18)&gt;0,SUM(W7:W18),"")</f>
        <v>441</v>
      </c>
      <c r="X20" s="159">
        <f>IF(SUM(X7:X18)&gt;0,SUM(X7:X18),"")</f>
        <v>430.2838329289699</v>
      </c>
      <c r="Y20" s="159">
        <f>IF(SUM(Y7:Y18)&gt;0,SUM(Y7:Y18),"")</f>
        <v>254.81532475706427</v>
      </c>
      <c r="Z20" s="159">
        <f>IF(SUM(Y7:Y18)&gt;0,SUM(Z7:Z18),"")</f>
        <v>262.76609255754772</v>
      </c>
      <c r="AA20" s="159">
        <f t="shared" ref="AA20:AI20" si="5">IF(SUM(AA7:AA18)&gt;0,SUM(AA7:AA18),"")</f>
        <v>252.04992548651759</v>
      </c>
      <c r="AB20" s="159">
        <f t="shared" si="5"/>
        <v>254.81532475706427</v>
      </c>
      <c r="AC20" s="159">
        <f t="shared" si="5"/>
        <v>262.76609255754772</v>
      </c>
      <c r="AD20" s="159">
        <f t="shared" si="5"/>
        <v>252.04992548651759</v>
      </c>
      <c r="AE20" s="159">
        <f t="shared" si="5"/>
        <v>1.124034309244403</v>
      </c>
      <c r="AF20" s="159">
        <f>SUM(AF7:AF18)</f>
        <v>260.00069328700107</v>
      </c>
      <c r="AG20" s="159">
        <f>SUM(AG7:AG18)</f>
        <v>6475.2705420467182</v>
      </c>
      <c r="AH20" s="170"/>
      <c r="AI20" s="170">
        <f t="shared" si="5"/>
        <v>6475.2705420467182</v>
      </c>
      <c r="AJ20" s="170">
        <f>SUM(AJ7:AJ18)</f>
        <v>10.716167071030151</v>
      </c>
      <c r="AK20" s="159">
        <f>IF(SUM(AK7:AK18)&gt;0,SUM(AK7:AK18),"")</f>
        <v>0.89231608248328198</v>
      </c>
    </row>
    <row r="21" spans="1:37" x14ac:dyDescent="0.15">
      <c r="A21" s="91"/>
      <c r="B21" s="8"/>
      <c r="C21" s="8"/>
      <c r="D21" s="8" t="s">
        <v>16</v>
      </c>
      <c r="E21" s="8" t="s">
        <v>41</v>
      </c>
      <c r="F21" s="92" t="s">
        <v>18</v>
      </c>
      <c r="G21" s="93"/>
      <c r="H21" s="17"/>
      <c r="I21" s="24"/>
      <c r="J21" s="24"/>
      <c r="L21" s="23"/>
      <c r="M21" s="24"/>
      <c r="N21" s="24"/>
      <c r="O21" s="79"/>
      <c r="P21" s="23"/>
      <c r="Q21" s="24"/>
      <c r="R21" s="24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</row>
    <row r="22" spans="1:37" x14ac:dyDescent="0.15">
      <c r="A22" s="25" t="s">
        <v>36</v>
      </c>
      <c r="D22" s="26">
        <f>IF(SUM(D7,H7,L7,P7,D11,H11,L11,P11,D15,H15,L15,P15)&gt;0,SUM(D7,H7,L7,P7,D11,H11,L11,P11,D15,H15,L15,P15),"")</f>
        <v>441</v>
      </c>
      <c r="E22" s="26">
        <f>IF(SUM(E7,I7,M7,Q7,E11,I11,M11,Q11,E15,I15,M15,Q15)&gt;0,SUM(E7,I7,M7,Q7,E11,I11,M11,Q11,E15,I15,M15,Q15),"")</f>
        <v>701</v>
      </c>
      <c r="F22" s="27">
        <f>IF(SUM(D22,E22)=0,"",SUM(D22,E22))</f>
        <v>1142</v>
      </c>
      <c r="H22" s="220" t="s">
        <v>71</v>
      </c>
      <c r="I22" s="193"/>
      <c r="J22" s="194">
        <f>IF(SUM(Z20)&gt;0,IF(SUM(AA20)&gt;0,SUM(Z20)/AA20,"infinity"),"")</f>
        <v>1.0425160493515138</v>
      </c>
      <c r="K22" s="194"/>
      <c r="L22" s="194"/>
      <c r="O22" s="73"/>
      <c r="T22" s="14" t="s">
        <v>44</v>
      </c>
      <c r="U22" s="159"/>
      <c r="V22" s="159"/>
      <c r="W22" s="159"/>
      <c r="X22" s="159"/>
      <c r="Y22" s="200">
        <f>IF(SUM(Y20)&gt;0,(W20-X20)/SQRT(Y20),"")</f>
        <v>0.67131554569288643</v>
      </c>
      <c r="Z22" s="200"/>
      <c r="AA22" s="200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</row>
    <row r="23" spans="1:37" ht="13.5" customHeight="1" x14ac:dyDescent="0.15">
      <c r="A23" s="25" t="s">
        <v>69</v>
      </c>
      <c r="D23" s="113">
        <f>IF(SUM(D8,H8,L8,P8,D12,H12,L12,P12,D16,H16,L16,P16)&gt;0,SUM(D8,H8,L8,P8,D12,H12,L12,P12,D16,H16,L16,P16),"")</f>
        <v>9993</v>
      </c>
      <c r="E23" s="113">
        <f>IF(SUM(E8,I8,M8,Q8,E12,I12,M12,Q12,E16,I16,M16,Q16)&gt;0,SUM(E8,I8,M8,Q8,E12,I12,M12,Q12,E16,I16,M16,Q16),"")</f>
        <v>22036</v>
      </c>
      <c r="F23" s="114">
        <f>IF(SUM(D23,E23)=0,"",SUM(D23,E23))</f>
        <v>32029</v>
      </c>
      <c r="H23" s="222" t="s">
        <v>45</v>
      </c>
      <c r="I23" s="191"/>
      <c r="J23" s="191"/>
      <c r="K23" s="205">
        <f>IF(SUM($AA$20)&gt;0,IF(SUM($J$22)=0,"",EXP(LN($J$22)-1.645*SQRT($Y$23))),"")</f>
        <v>0.94138950708724067</v>
      </c>
      <c r="L23" s="205"/>
      <c r="M23" s="205">
        <f>IF(SUM($AA$20)&gt;0,IF(SUM($J$22)=0,"",EXP(LN($J$22)+1.645*SQRT($Y$23))),"")</f>
        <v>1.1545058713457361</v>
      </c>
      <c r="N23" s="205"/>
      <c r="O23" s="85"/>
      <c r="T23" s="34" t="s">
        <v>72</v>
      </c>
      <c r="U23" s="175"/>
      <c r="V23" s="159"/>
      <c r="W23" s="159"/>
      <c r="X23" s="159"/>
      <c r="Y23" s="200">
        <f>IF(SUM(AA20)&gt;0,AB20/AC20/AD20,"")</f>
        <v>3.8474204305512746E-3</v>
      </c>
      <c r="Z23" s="200"/>
      <c r="AA23" s="200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</row>
    <row r="24" spans="1:37" x14ac:dyDescent="0.15">
      <c r="A24" s="31"/>
      <c r="B24" s="32"/>
      <c r="C24" s="32"/>
      <c r="D24" s="18"/>
      <c r="E24" s="17"/>
      <c r="F24" s="33"/>
      <c r="H24" s="224" t="s">
        <v>47</v>
      </c>
      <c r="I24" s="206"/>
      <c r="J24" s="206"/>
      <c r="K24" s="194">
        <f>IF(SUM($AA$20)&gt;0,IF(SUM($J$22)=0,"",EXP(LN($J$22)-1.96*SQRT($Y$23))),"")</f>
        <v>0.92317452004412459</v>
      </c>
      <c r="L24" s="194"/>
      <c r="M24" s="194">
        <f>IF(SUM($AA$20)&gt;0,IF(SUM($J$22)=0,"",EXP(LN($J$22)+1.96*SQRT($Y$23))),"")</f>
        <v>1.1772852148297384</v>
      </c>
      <c r="N24" s="194"/>
      <c r="O24" s="86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</row>
    <row r="25" spans="1:37" x14ac:dyDescent="0.15">
      <c r="A25" s="25"/>
      <c r="F25" s="79"/>
      <c r="H25" s="222" t="s">
        <v>48</v>
      </c>
      <c r="I25" s="191"/>
      <c r="J25" s="191"/>
      <c r="K25" s="205">
        <f>IF(SUM($AA$20)&gt;0,IF(SUM($J$22)=0,"",EXP(LN($J$22)-2.575*SQRT($Y$23))),"")</f>
        <v>0.88862145533314441</v>
      </c>
      <c r="L25" s="205"/>
      <c r="M25" s="205">
        <f>IF(SUM($AA$20)&gt;0,IF(SUM($J$22)=0,"",EXP(LN($J$22)+2.575*SQRT($Y$23))),"")</f>
        <v>1.2230626512928742</v>
      </c>
      <c r="N25" s="205"/>
      <c r="O25" s="85"/>
      <c r="AC25" s="14" t="s">
        <v>42</v>
      </c>
      <c r="AE25" s="14">
        <f xml:space="preserve"> 11 - COUNTIF(AE7:AE18,"")</f>
        <v>2</v>
      </c>
      <c r="AF25" s="14"/>
      <c r="AG25" s="14"/>
      <c r="AH25" s="14"/>
      <c r="AI25" s="14"/>
      <c r="AJ25" s="14"/>
    </row>
    <row r="26" spans="1:37" x14ac:dyDescent="0.15">
      <c r="A26" s="225" t="s">
        <v>73</v>
      </c>
      <c r="B26" s="193"/>
      <c r="D26" s="194">
        <f>IF(SUM(Y20)&gt;0,IF(SUM(E22)&gt;0,SUM(D22)*SUM(E23)/E22/D23,"infinity"),"")</f>
        <v>1.3872586702275045</v>
      </c>
      <c r="E26" s="194"/>
      <c r="F26" s="79"/>
      <c r="H26" s="35"/>
      <c r="O26" s="79"/>
      <c r="V26" s="39"/>
    </row>
    <row r="27" spans="1:37" ht="14" thickBot="1" x14ac:dyDescent="0.2">
      <c r="A27" s="222" t="s">
        <v>45</v>
      </c>
      <c r="B27" s="191"/>
      <c r="D27" s="72">
        <f>IF($D$26&lt;&gt;"",EXP(LN($D$26)-1.645*SQRT(1/$D$22+1/$E$22)),"")</f>
        <v>1.2552664858506661</v>
      </c>
      <c r="E27" s="72">
        <f>IF($D$26&lt;&gt;"",EXP(LN($D$26)+1.645*SQRT(1/$D$22+1/$E$22)),"")</f>
        <v>1.5331299288351528</v>
      </c>
      <c r="F27" s="79"/>
      <c r="H27" s="216" t="str">
        <f>IF(SUM(AE25)&gt;0,"P-value for homogeneity:","")</f>
        <v>P-value for homogeneity:</v>
      </c>
      <c r="I27" s="217"/>
      <c r="J27" s="217"/>
      <c r="K27" s="101"/>
      <c r="L27" s="101"/>
      <c r="M27" s="199">
        <f xml:space="preserve"> IF(SUM(AE25)&gt;0,CHIDIST(AE20,AE25),"")</f>
        <v>0.57005800816437147</v>
      </c>
      <c r="N27" s="199"/>
      <c r="O27" s="87"/>
      <c r="T27" s="34"/>
      <c r="Y27" s="219"/>
      <c r="Z27" s="219"/>
      <c r="AA27" s="219"/>
    </row>
    <row r="28" spans="1:37" ht="15" thickTop="1" thickBot="1" x14ac:dyDescent="0.2">
      <c r="A28" s="226" t="s">
        <v>47</v>
      </c>
      <c r="B28" s="206"/>
      <c r="D28" s="65">
        <f>IF($D$26&lt;&gt;"",EXP(LN($D$26)-1.96*SQRT(1/$D$22+1/$E$22)),"")</f>
        <v>1.231462455806424</v>
      </c>
      <c r="E28" s="65">
        <f>IF($D$26&lt;&gt;"",EXP(LN($D$26)+1.96*SQRT(1/$D$22+1/$E$22)),"")</f>
        <v>1.5627651570271646</v>
      </c>
      <c r="F28" s="79"/>
      <c r="I28" s="103"/>
      <c r="J28" s="103"/>
      <c r="K28" s="103"/>
      <c r="L28" s="103"/>
      <c r="M28" s="103"/>
      <c r="N28" s="103"/>
      <c r="O28" s="103"/>
    </row>
    <row r="29" spans="1:37" ht="16" thickTop="1" x14ac:dyDescent="0.2">
      <c r="A29" s="190" t="s">
        <v>48</v>
      </c>
      <c r="B29" s="191"/>
      <c r="D29" s="72">
        <f>IF($D$26&lt;&gt;"",EXP(LN($D$26)-2.575*SQRT(1/$D$22+1/$E$22)),"")</f>
        <v>1.1862810712764633</v>
      </c>
      <c r="E29" s="72">
        <f>IF($D$26&lt;&gt;"",EXP(LN($D$26)+2.575*SQRT(1/$D$22+1/$E$22)),"")</f>
        <v>1.6222855314133908</v>
      </c>
      <c r="F29" s="79"/>
      <c r="G29" s="84"/>
      <c r="H29" s="102" t="s">
        <v>74</v>
      </c>
      <c r="O29" s="83"/>
      <c r="T29" s="157" t="s">
        <v>75</v>
      </c>
      <c r="U29" s="14"/>
      <c r="V29" s="157">
        <f>IF(SUM(AF20)*SUM(AG20)&gt;0,AF20/AG20^2,"")</f>
        <v>6.200956280600605E-6</v>
      </c>
      <c r="X29" s="2"/>
    </row>
    <row r="30" spans="1:37" x14ac:dyDescent="0.15">
      <c r="A30" s="94"/>
      <c r="B30" s="23"/>
      <c r="F30" s="79"/>
      <c r="G30" s="84"/>
      <c r="O30" s="79"/>
      <c r="T30" s="14"/>
      <c r="U30" s="14"/>
      <c r="V30" s="14"/>
    </row>
    <row r="31" spans="1:37" x14ac:dyDescent="0.15">
      <c r="A31" s="225" t="s">
        <v>76</v>
      </c>
      <c r="B31" s="193"/>
      <c r="D31" s="201">
        <f>IF(SUM(Y20)&gt;0,SUM(D22)/SUM(D23) - SUM(E22)/SUM(E23),"")</f>
        <v>1.2319310574944661E-2</v>
      </c>
      <c r="E31" s="201"/>
      <c r="F31" s="79"/>
      <c r="H31" s="220" t="s">
        <v>77</v>
      </c>
      <c r="I31" s="193"/>
      <c r="J31" s="221">
        <f>IF(SUM(AI20)&gt;0,AJ20/AI20,"")</f>
        <v>1.6549373499447578E-3</v>
      </c>
      <c r="K31" s="221"/>
      <c r="L31" s="221"/>
      <c r="O31" s="73"/>
      <c r="T31" s="14"/>
      <c r="U31" s="14"/>
      <c r="V31" s="14"/>
    </row>
    <row r="32" spans="1:37" x14ac:dyDescent="0.15">
      <c r="A32" s="190" t="s">
        <v>45</v>
      </c>
      <c r="B32" s="191"/>
      <c r="C32" s="202">
        <f>IF($D$31&lt;&gt;"",$D$31-1.645*SQRT($D$22/$D$23^2+$E$22/$E$23^2),"")</f>
        <v>8.3372554493688373E-3</v>
      </c>
      <c r="D32" s="202"/>
      <c r="E32" s="202">
        <f>IF($D$31&lt;&gt;"",$D$31+1.645*SQRT($D$22/$D$23^2+$E$22/$E$23^2),"")</f>
        <v>1.6301365700520487E-2</v>
      </c>
      <c r="F32" s="207"/>
      <c r="H32" s="222" t="s">
        <v>45</v>
      </c>
      <c r="I32" s="191"/>
      <c r="J32" s="191"/>
      <c r="K32" s="223">
        <f>IF(SUM($V$29)&gt;0,$J$31-1.645*SQRT($V$29),"")</f>
        <v>-2.4413954879984991E-3</v>
      </c>
      <c r="L32" s="223"/>
      <c r="M32" s="223">
        <f>IF(SUM($V$29)&gt;0,$J$31+1.645*SQRT($V$29),"")</f>
        <v>5.7512701878880143E-3</v>
      </c>
      <c r="N32" s="223"/>
      <c r="O32" s="107"/>
      <c r="T32" s="14"/>
      <c r="U32" s="14"/>
      <c r="V32" s="14"/>
    </row>
    <row r="33" spans="1:22" x14ac:dyDescent="0.15">
      <c r="A33" s="226" t="s">
        <v>47</v>
      </c>
      <c r="B33" s="206"/>
      <c r="C33" s="202">
        <f>IF($D$31&lt;&gt;"",$D$31-1.96*SQRT($D$22/$D$23^2+$E$22/$E$23^2),"")</f>
        <v>7.574734255109637E-3</v>
      </c>
      <c r="D33" s="202"/>
      <c r="E33" s="202">
        <f>IF($D$31&lt;&gt;"",$D$31+1.96*SQRT($D$22/$D$23^2+$E$22/$E$23^2),"")</f>
        <v>1.7063886894779685E-2</v>
      </c>
      <c r="F33" s="207"/>
      <c r="H33" s="224" t="s">
        <v>47</v>
      </c>
      <c r="I33" s="206"/>
      <c r="J33" s="206"/>
      <c r="K33" s="221">
        <f>IF(SUM($V$29)&gt;0,$J$31-1.96*SQRT($V$29),"")</f>
        <v>-3.2257996484557185E-3</v>
      </c>
      <c r="L33" s="221"/>
      <c r="M33" s="221">
        <f>IF(SUM($V$29)&gt;0,$J$31+1.96*SQRT($V$29),"")</f>
        <v>6.5356743483452337E-3</v>
      </c>
      <c r="N33" s="221"/>
      <c r="O33" s="107"/>
      <c r="T33" s="14"/>
      <c r="U33" s="14"/>
      <c r="V33" s="14"/>
    </row>
    <row r="34" spans="1:22" x14ac:dyDescent="0.15">
      <c r="A34" s="190" t="s">
        <v>48</v>
      </c>
      <c r="B34" s="191"/>
      <c r="C34" s="202">
        <f>IF($D$31&lt;&gt;"",$D$31-2.575*SQRT($D$22/$D$23^2+$E$22/$E$23^2),"")</f>
        <v>6.0860023996511976E-3</v>
      </c>
      <c r="D34" s="202"/>
      <c r="E34" s="202">
        <f>IF($D$31&lt;&gt;"",$D$31+2.575*SQRT($D$22/$D$23^2+$E$22/$E$23^2),"")</f>
        <v>1.8552618750238125E-2</v>
      </c>
      <c r="F34" s="207"/>
      <c r="H34" s="222" t="s">
        <v>48</v>
      </c>
      <c r="I34" s="191"/>
      <c r="J34" s="191"/>
      <c r="K34" s="223">
        <f>IF(SUM($V$29)&gt;0,$J$31-2.575*SQRT($V$29),"")</f>
        <v>-4.7572553903007658E-3</v>
      </c>
      <c r="L34" s="223"/>
      <c r="M34" s="223">
        <f>IF(SUM($V$29)&gt;0,$J$31+2.575*SQRT($V$29),"")</f>
        <v>8.0671300901902811E-3</v>
      </c>
      <c r="N34" s="223"/>
      <c r="O34" s="107"/>
      <c r="T34" s="14"/>
      <c r="U34" s="14"/>
      <c r="V34" s="14"/>
    </row>
    <row r="35" spans="1:22" x14ac:dyDescent="0.15">
      <c r="A35" s="94"/>
      <c r="F35" s="79"/>
      <c r="H35" s="35"/>
      <c r="O35" s="79"/>
      <c r="T35" s="14"/>
      <c r="U35" s="14"/>
      <c r="V35" s="14"/>
    </row>
    <row r="36" spans="1:22" ht="14" thickBot="1" x14ac:dyDescent="0.2">
      <c r="A36" s="80" t="s">
        <v>54</v>
      </c>
      <c r="B36" s="32"/>
      <c r="F36" s="79"/>
      <c r="H36" s="216" t="str">
        <f>IF(SUM(AE25)&gt;0,"P-value for homogeneity:","")</f>
        <v>P-value for homogeneity:</v>
      </c>
      <c r="I36" s="217"/>
      <c r="J36" s="217"/>
      <c r="K36" s="101"/>
      <c r="L36" s="101"/>
      <c r="M36" s="199">
        <f xml:space="preserve"> IF(SUM(AE25)&gt;0,CHIDIST(AK20,AE25),"")</f>
        <v>0.64008260461795685</v>
      </c>
      <c r="N36" s="199"/>
      <c r="O36" s="87"/>
    </row>
    <row r="37" spans="1:22" ht="15" thickTop="1" thickBot="1" x14ac:dyDescent="0.2">
      <c r="A37" s="190" t="s">
        <v>55</v>
      </c>
      <c r="B37" s="191"/>
      <c r="D37" s="96">
        <f>IF(D26&lt;&gt;"",(D22-D23*F22/F23)^2/(D23*E23*F22/F23^2),"")</f>
        <v>29.264112346261062</v>
      </c>
      <c r="F37" s="79"/>
    </row>
    <row r="38" spans="1:22" ht="14" thickTop="1" x14ac:dyDescent="0.15">
      <c r="A38" s="190" t="s">
        <v>56</v>
      </c>
      <c r="B38" s="191"/>
      <c r="D38" s="24">
        <f>IF(D26&lt;&gt;"",1,"")</f>
        <v>1</v>
      </c>
      <c r="F38" s="79"/>
      <c r="H38" s="88" t="s">
        <v>57</v>
      </c>
      <c r="I38" s="78"/>
      <c r="J38" s="78"/>
      <c r="K38" s="78"/>
      <c r="L38" s="78"/>
      <c r="M38" s="78"/>
      <c r="N38" s="78"/>
      <c r="O38" s="83"/>
    </row>
    <row r="39" spans="1:22" x14ac:dyDescent="0.15">
      <c r="A39" s="226" t="s">
        <v>58</v>
      </c>
      <c r="B39" s="206"/>
      <c r="D39" s="65" t="str">
        <f>IF(D26&lt;&gt;"",IF(CHIDIST(D37,D38)&lt;0.0001,"&lt;0.0001",CHIDIST(D37,D38)),"")</f>
        <v>&lt;0.0001</v>
      </c>
      <c r="F39" s="79"/>
      <c r="H39" s="89"/>
      <c r="O39" s="79"/>
    </row>
    <row r="40" spans="1:22" ht="14" thickBot="1" x14ac:dyDescent="0.2">
      <c r="A40" s="97"/>
      <c r="B40" s="69"/>
      <c r="C40" s="69"/>
      <c r="D40" s="69"/>
      <c r="E40" s="69"/>
      <c r="F40" s="71"/>
      <c r="H40" s="190" t="s">
        <v>55</v>
      </c>
      <c r="I40" s="191"/>
      <c r="J40" s="191"/>
      <c r="K40" s="218">
        <f>IF(SUM(AI20)&gt;0,(W20-X20)^2/Y20,"")</f>
        <v>0.450664561888938</v>
      </c>
      <c r="L40" s="218"/>
      <c r="O40" s="79"/>
    </row>
    <row r="41" spans="1:22" ht="14" thickTop="1" x14ac:dyDescent="0.15">
      <c r="H41" s="190" t="s">
        <v>56</v>
      </c>
      <c r="I41" s="191"/>
      <c r="J41" s="191"/>
      <c r="K41" s="191">
        <f>IF(SUM(AI20)&gt;0,1,"")</f>
        <v>1</v>
      </c>
      <c r="L41" s="191"/>
      <c r="O41" s="79"/>
    </row>
    <row r="42" spans="1:22" ht="14" thickBot="1" x14ac:dyDescent="0.2">
      <c r="H42" s="188" t="s">
        <v>58</v>
      </c>
      <c r="I42" s="189"/>
      <c r="J42" s="189"/>
      <c r="K42" s="198">
        <f>IF(SUM(AI20)&gt;0,CHIDIST(K40,K41),"")</f>
        <v>0.50201953337368788</v>
      </c>
      <c r="L42" s="198"/>
      <c r="M42" s="69"/>
      <c r="N42" s="69"/>
      <c r="O42" s="71"/>
    </row>
    <row r="43" spans="1:22" ht="15" thickTop="1" thickBot="1" x14ac:dyDescent="0.2">
      <c r="C43" s="206"/>
      <c r="D43" s="206"/>
      <c r="E43" s="206"/>
    </row>
    <row r="44" spans="1:22" ht="14" thickTop="1" x14ac:dyDescent="0.15">
      <c r="C44" s="191"/>
      <c r="D44" s="191"/>
      <c r="E44" s="191"/>
      <c r="H44" s="88" t="s">
        <v>59</v>
      </c>
      <c r="I44" s="78"/>
      <c r="J44" s="78"/>
      <c r="K44" s="78"/>
      <c r="L44" s="78"/>
      <c r="M44" s="78"/>
      <c r="N44" s="78"/>
      <c r="O44" s="83"/>
    </row>
    <row r="45" spans="1:22" x14ac:dyDescent="0.15">
      <c r="C45" s="24"/>
      <c r="D45" s="24"/>
      <c r="E45" s="24"/>
      <c r="H45" s="94"/>
      <c r="O45" s="79"/>
    </row>
    <row r="46" spans="1:22" x14ac:dyDescent="0.15">
      <c r="A46" s="14"/>
      <c r="C46" s="206"/>
      <c r="D46" s="206"/>
      <c r="E46" s="206"/>
      <c r="H46" s="94"/>
      <c r="I46" s="206" t="s">
        <v>78</v>
      </c>
      <c r="J46" s="206"/>
      <c r="K46" s="23"/>
      <c r="M46" s="206" t="s">
        <v>79</v>
      </c>
      <c r="N46" s="206"/>
      <c r="O46" s="178"/>
    </row>
    <row r="47" spans="1:22" x14ac:dyDescent="0.15">
      <c r="A47" s="14"/>
      <c r="B47" s="30"/>
      <c r="C47" s="191"/>
      <c r="D47" s="191"/>
      <c r="E47" s="191"/>
      <c r="H47" s="179"/>
      <c r="I47" s="24" t="s">
        <v>62</v>
      </c>
      <c r="J47" s="180">
        <f>IF(AE25&gt;0,AE20,"")</f>
        <v>1.124034309244403</v>
      </c>
      <c r="K47" s="23"/>
      <c r="L47" s="23"/>
      <c r="M47" s="24" t="s">
        <v>62</v>
      </c>
      <c r="N47" s="180">
        <f>IF(AE25&gt;0,AK20,"")</f>
        <v>0.89231608248328198</v>
      </c>
      <c r="O47" s="178"/>
    </row>
    <row r="48" spans="1:22" x14ac:dyDescent="0.15">
      <c r="A48" s="14"/>
      <c r="B48" s="14"/>
      <c r="C48" s="206"/>
      <c r="D48" s="206"/>
      <c r="E48" s="206"/>
      <c r="H48" s="179"/>
      <c r="I48" s="24" t="s">
        <v>56</v>
      </c>
      <c r="J48" s="23">
        <f>IF(AE25&gt;0,AE25,"")</f>
        <v>2</v>
      </c>
      <c r="K48" s="23"/>
      <c r="L48" s="23"/>
      <c r="M48" s="24" t="s">
        <v>56</v>
      </c>
      <c r="N48" s="23">
        <f>IF(AE25&gt;0,AE25,"")</f>
        <v>2</v>
      </c>
      <c r="O48" s="178"/>
    </row>
    <row r="49" spans="1:15" ht="14" thickBot="1" x14ac:dyDescent="0.2">
      <c r="A49" s="14"/>
      <c r="B49" s="14"/>
      <c r="C49" s="191"/>
      <c r="D49" s="191"/>
      <c r="E49" s="191"/>
      <c r="H49" s="181"/>
      <c r="I49" s="90" t="s">
        <v>58</v>
      </c>
      <c r="J49" s="95">
        <f>IF(AE25&gt;0,CHIDIST(J47,J48),"")</f>
        <v>0.57005800816437147</v>
      </c>
      <c r="K49" s="182"/>
      <c r="L49" s="182"/>
      <c r="M49" s="90" t="s">
        <v>58</v>
      </c>
      <c r="N49" s="95">
        <f>IF(AE25&gt;0,CHIDIST(N47,N48),"")</f>
        <v>0.64008260461795685</v>
      </c>
      <c r="O49" s="183"/>
    </row>
    <row r="50" spans="1:15" ht="14" thickTop="1" x14ac:dyDescent="0.15">
      <c r="A50" s="14"/>
      <c r="B50" s="14"/>
      <c r="C50" s="24"/>
      <c r="D50" s="24"/>
      <c r="E50" s="24"/>
    </row>
    <row r="51" spans="1:15" x14ac:dyDescent="0.15">
      <c r="A51" s="14"/>
      <c r="B51" s="14"/>
    </row>
    <row r="52" spans="1:15" x14ac:dyDescent="0.15">
      <c r="A52" s="14"/>
      <c r="B52" s="14"/>
      <c r="C52" s="24"/>
      <c r="G52" s="30"/>
    </row>
    <row r="53" spans="1:15" x14ac:dyDescent="0.15">
      <c r="A53" s="14"/>
      <c r="B53" s="14"/>
      <c r="C53" s="24"/>
      <c r="G53" s="14"/>
    </row>
    <row r="54" spans="1:15" x14ac:dyDescent="0.15">
      <c r="A54" s="14"/>
      <c r="B54" s="14"/>
      <c r="C54" s="24"/>
      <c r="G54" s="14"/>
      <c r="H54" s="30"/>
    </row>
    <row r="55" spans="1:15" x14ac:dyDescent="0.15">
      <c r="A55" s="14"/>
      <c r="B55" s="14"/>
      <c r="C55" s="14"/>
      <c r="D55" s="14"/>
      <c r="H55" s="14"/>
    </row>
    <row r="56" spans="1:15" x14ac:dyDescent="0.15">
      <c r="A56" s="14"/>
      <c r="B56" s="14"/>
      <c r="C56" s="14"/>
      <c r="D56" s="14"/>
      <c r="H56" s="14"/>
    </row>
    <row r="57" spans="1:15" x14ac:dyDescent="0.15">
      <c r="A57" s="14"/>
      <c r="B57" s="14"/>
      <c r="C57" s="14"/>
      <c r="D57" s="14"/>
    </row>
    <row r="58" spans="1:15" x14ac:dyDescent="0.15">
      <c r="A58" s="14"/>
      <c r="B58" s="14"/>
      <c r="C58" s="14"/>
      <c r="D58" s="14"/>
    </row>
    <row r="59" spans="1:15" x14ac:dyDescent="0.15">
      <c r="A59" s="14"/>
      <c r="B59" s="14"/>
      <c r="C59" s="14"/>
      <c r="D59" s="14"/>
    </row>
    <row r="60" spans="1:15" x14ac:dyDescent="0.15">
      <c r="A60" s="14"/>
      <c r="B60" s="14"/>
      <c r="C60" s="14"/>
      <c r="D60" s="14"/>
    </row>
    <row r="61" spans="1:15" x14ac:dyDescent="0.15">
      <c r="A61" s="14"/>
      <c r="B61" s="14"/>
      <c r="C61" s="14"/>
      <c r="D61" s="14"/>
    </row>
    <row r="62" spans="1:15" x14ac:dyDescent="0.15">
      <c r="A62" s="14"/>
      <c r="B62" s="14"/>
      <c r="C62" s="14"/>
      <c r="D62" s="14"/>
    </row>
    <row r="63" spans="1:15" x14ac:dyDescent="0.15">
      <c r="A63" s="14"/>
      <c r="B63" s="14"/>
      <c r="C63" s="14"/>
      <c r="D63" s="14"/>
    </row>
    <row r="64" spans="1:15" x14ac:dyDescent="0.15">
      <c r="A64" s="14"/>
      <c r="B64" s="14"/>
      <c r="C64" s="14"/>
      <c r="D64" s="14"/>
    </row>
    <row r="65" spans="1:4" x14ac:dyDescent="0.15">
      <c r="A65" s="14"/>
      <c r="B65" s="14"/>
      <c r="C65" s="14"/>
      <c r="D65" s="14"/>
    </row>
    <row r="66" spans="1:4" x14ac:dyDescent="0.15">
      <c r="A66" s="14"/>
      <c r="B66" s="14"/>
      <c r="C66" s="14"/>
      <c r="D66" s="14"/>
    </row>
    <row r="67" spans="1:4" x14ac:dyDescent="0.15">
      <c r="A67" s="14"/>
      <c r="B67" s="14"/>
      <c r="C67" s="14"/>
      <c r="D67" s="14"/>
    </row>
    <row r="68" spans="1:4" x14ac:dyDescent="0.15">
      <c r="A68" s="14"/>
      <c r="B68" s="14"/>
      <c r="C68" s="14"/>
      <c r="D68" s="14"/>
    </row>
    <row r="69" spans="1:4" x14ac:dyDescent="0.15">
      <c r="A69" s="14"/>
      <c r="B69" s="14"/>
      <c r="C69" s="14"/>
      <c r="D69" s="14"/>
    </row>
    <row r="70" spans="1:4" x14ac:dyDescent="0.15">
      <c r="A70" s="14"/>
      <c r="B70" s="14"/>
      <c r="C70" s="14"/>
      <c r="D70" s="14"/>
    </row>
    <row r="71" spans="1:4" x14ac:dyDescent="0.15">
      <c r="A71" s="14"/>
      <c r="B71" s="14"/>
      <c r="C71" s="14"/>
      <c r="D71" s="14"/>
    </row>
    <row r="72" spans="1:4" x14ac:dyDescent="0.15">
      <c r="A72" s="14"/>
      <c r="B72" s="14"/>
      <c r="C72" s="14"/>
      <c r="D72" s="14"/>
    </row>
    <row r="73" spans="1:4" x14ac:dyDescent="0.15">
      <c r="A73" s="14"/>
      <c r="B73" s="14"/>
      <c r="C73" s="14"/>
      <c r="D73" s="14"/>
    </row>
    <row r="74" spans="1:4" x14ac:dyDescent="0.15">
      <c r="A74" s="14"/>
      <c r="B74" s="14"/>
      <c r="C74" s="14"/>
      <c r="D74" s="14"/>
    </row>
    <row r="75" spans="1:4" x14ac:dyDescent="0.15">
      <c r="A75" s="14"/>
      <c r="B75" s="14"/>
      <c r="C75" s="14"/>
      <c r="D75" s="14"/>
    </row>
    <row r="76" spans="1:4" x14ac:dyDescent="0.15">
      <c r="A76" s="14"/>
      <c r="B76" s="14"/>
      <c r="C76" s="14"/>
      <c r="D76" s="14"/>
    </row>
    <row r="77" spans="1:4" x14ac:dyDescent="0.15">
      <c r="A77" s="14"/>
      <c r="B77" s="14"/>
      <c r="C77" s="14"/>
      <c r="D77" s="14"/>
    </row>
    <row r="78" spans="1:4" x14ac:dyDescent="0.15">
      <c r="A78" s="14"/>
      <c r="B78" s="14"/>
      <c r="C78" s="14"/>
      <c r="D78" s="14"/>
    </row>
    <row r="79" spans="1:4" x14ac:dyDescent="0.15">
      <c r="A79" s="14"/>
      <c r="B79" s="14"/>
      <c r="C79" s="14"/>
      <c r="D79" s="14"/>
    </row>
    <row r="80" spans="1:4" x14ac:dyDescent="0.15">
      <c r="A80" s="14"/>
      <c r="B80" s="14"/>
      <c r="C80" s="14"/>
      <c r="D80" s="14"/>
    </row>
    <row r="81" spans="1:4" x14ac:dyDescent="0.15">
      <c r="A81" s="14"/>
      <c r="B81" s="14"/>
      <c r="C81" s="14"/>
      <c r="D81" s="14"/>
    </row>
    <row r="82" spans="1:4" x14ac:dyDescent="0.15">
      <c r="A82" s="14"/>
      <c r="B82" s="14"/>
      <c r="C82" s="14"/>
      <c r="D82" s="14"/>
    </row>
    <row r="83" spans="1:4" x14ac:dyDescent="0.15">
      <c r="A83" s="14"/>
      <c r="B83" s="14"/>
      <c r="C83" s="14"/>
      <c r="D83" s="14"/>
    </row>
    <row r="84" spans="1:4" x14ac:dyDescent="0.15">
      <c r="A84" s="14"/>
      <c r="B84" s="14"/>
      <c r="C84" s="14"/>
      <c r="D84" s="14"/>
    </row>
    <row r="85" spans="1:4" x14ac:dyDescent="0.15">
      <c r="A85" s="14"/>
      <c r="B85" s="14"/>
      <c r="C85" s="14"/>
      <c r="D85" s="14"/>
    </row>
    <row r="86" spans="1:4" x14ac:dyDescent="0.15">
      <c r="A86" s="14"/>
      <c r="B86" s="14"/>
      <c r="C86" s="14"/>
      <c r="D86" s="14"/>
    </row>
    <row r="87" spans="1:4" x14ac:dyDescent="0.15">
      <c r="A87" s="14"/>
      <c r="B87" s="14"/>
      <c r="C87" s="14"/>
      <c r="D87" s="14"/>
    </row>
    <row r="88" spans="1:4" x14ac:dyDescent="0.15">
      <c r="A88" s="14"/>
      <c r="B88" s="14"/>
      <c r="C88" s="14"/>
      <c r="D88" s="14"/>
    </row>
    <row r="89" spans="1:4" x14ac:dyDescent="0.15">
      <c r="A89" s="14"/>
      <c r="B89" s="14"/>
      <c r="C89" s="14"/>
      <c r="D89" s="14"/>
    </row>
    <row r="90" spans="1:4" x14ac:dyDescent="0.15">
      <c r="A90" s="14"/>
      <c r="B90" s="14"/>
      <c r="C90" s="14"/>
      <c r="D90" s="14"/>
    </row>
    <row r="91" spans="1:4" x14ac:dyDescent="0.15">
      <c r="A91" s="14"/>
      <c r="B91" s="14"/>
      <c r="C91" s="14"/>
      <c r="D91" s="14"/>
    </row>
    <row r="92" spans="1:4" x14ac:dyDescent="0.15">
      <c r="A92" s="14"/>
      <c r="B92" s="14"/>
      <c r="C92" s="14"/>
      <c r="D92" s="14"/>
    </row>
    <row r="93" spans="1:4" x14ac:dyDescent="0.15">
      <c r="A93" s="14"/>
      <c r="B93" s="14"/>
      <c r="C93" s="14"/>
      <c r="D93" s="14"/>
    </row>
    <row r="94" spans="1:4" x14ac:dyDescent="0.15">
      <c r="A94" s="14"/>
      <c r="B94" s="14"/>
      <c r="C94" s="14"/>
      <c r="D94" s="14"/>
    </row>
    <row r="95" spans="1:4" x14ac:dyDescent="0.15">
      <c r="A95" s="14"/>
      <c r="B95" s="14"/>
      <c r="C95" s="14"/>
      <c r="D95" s="14"/>
    </row>
    <row r="96" spans="1:4" x14ac:dyDescent="0.15">
      <c r="A96" s="14"/>
      <c r="B96" s="14"/>
      <c r="C96" s="14"/>
      <c r="D96" s="14"/>
    </row>
    <row r="97" spans="1:4" x14ac:dyDescent="0.15">
      <c r="A97" s="14"/>
      <c r="B97" s="14"/>
      <c r="C97" s="14"/>
      <c r="D97" s="14"/>
    </row>
    <row r="98" spans="1:4" x14ac:dyDescent="0.15">
      <c r="A98" s="14"/>
      <c r="B98" s="14"/>
      <c r="C98" s="14"/>
      <c r="D98" s="14"/>
    </row>
    <row r="99" spans="1:4" x14ac:dyDescent="0.15">
      <c r="A99" s="14"/>
      <c r="B99" s="14"/>
      <c r="C99" s="14"/>
      <c r="D99" s="14"/>
    </row>
    <row r="100" spans="1:4" x14ac:dyDescent="0.15">
      <c r="A100" s="14"/>
      <c r="B100" s="14"/>
      <c r="C100" s="14"/>
      <c r="D100" s="14"/>
    </row>
    <row r="101" spans="1:4" x14ac:dyDescent="0.15">
      <c r="A101" s="14"/>
      <c r="B101" s="14"/>
      <c r="C101" s="14"/>
      <c r="D101" s="14"/>
    </row>
    <row r="102" spans="1:4" x14ac:dyDescent="0.15">
      <c r="A102" s="14"/>
      <c r="B102" s="14"/>
      <c r="C102" s="14"/>
      <c r="D102" s="14"/>
    </row>
    <row r="103" spans="1:4" x14ac:dyDescent="0.15">
      <c r="A103" s="14"/>
      <c r="B103" s="14"/>
      <c r="C103" s="14"/>
      <c r="D103" s="14"/>
    </row>
    <row r="104" spans="1:4" x14ac:dyDescent="0.15">
      <c r="A104" s="14"/>
      <c r="B104" s="14"/>
      <c r="C104" s="14"/>
      <c r="D104" s="14"/>
    </row>
    <row r="105" spans="1:4" x14ac:dyDescent="0.15">
      <c r="A105" s="14"/>
      <c r="B105" s="14"/>
      <c r="C105" s="14"/>
      <c r="D105" s="14"/>
    </row>
    <row r="106" spans="1:4" x14ac:dyDescent="0.15">
      <c r="A106" s="14"/>
      <c r="B106" s="14"/>
      <c r="C106" s="14"/>
      <c r="D106" s="14"/>
    </row>
    <row r="107" spans="1:4" x14ac:dyDescent="0.15">
      <c r="A107" s="14"/>
      <c r="B107" s="14"/>
      <c r="C107" s="14"/>
      <c r="D107" s="14"/>
    </row>
  </sheetData>
  <sheetProtection sheet="1" objects="1" scenarios="1"/>
  <mergeCells count="91">
    <mergeCell ref="A26:B26"/>
    <mergeCell ref="A37:B37"/>
    <mergeCell ref="A38:B38"/>
    <mergeCell ref="A39:B39"/>
    <mergeCell ref="A27:B27"/>
    <mergeCell ref="A28:B28"/>
    <mergeCell ref="A29:B29"/>
    <mergeCell ref="A32:B32"/>
    <mergeCell ref="A31:B31"/>
    <mergeCell ref="A33:B33"/>
    <mergeCell ref="A34:B34"/>
    <mergeCell ref="C33:D33"/>
    <mergeCell ref="C34:D34"/>
    <mergeCell ref="E32:F32"/>
    <mergeCell ref="E33:F33"/>
    <mergeCell ref="E34:F34"/>
    <mergeCell ref="C48:E48"/>
    <mergeCell ref="C49:E49"/>
    <mergeCell ref="H40:J40"/>
    <mergeCell ref="I46:J46"/>
    <mergeCell ref="C43:E43"/>
    <mergeCell ref="C44:E44"/>
    <mergeCell ref="C46:E46"/>
    <mergeCell ref="C47:E47"/>
    <mergeCell ref="Y22:AA22"/>
    <mergeCell ref="H22:I22"/>
    <mergeCell ref="J22:L22"/>
    <mergeCell ref="K40:L40"/>
    <mergeCell ref="H41:J41"/>
    <mergeCell ref="K41:L41"/>
    <mergeCell ref="H25:J25"/>
    <mergeCell ref="K25:L25"/>
    <mergeCell ref="M25:N25"/>
    <mergeCell ref="Y23:AA23"/>
    <mergeCell ref="M23:N23"/>
    <mergeCell ref="H24:J24"/>
    <mergeCell ref="K24:L24"/>
    <mergeCell ref="M24:N24"/>
    <mergeCell ref="H23:J23"/>
    <mergeCell ref="K23:L23"/>
    <mergeCell ref="AH5:AK5"/>
    <mergeCell ref="Z5:AE5"/>
    <mergeCell ref="E9:F9"/>
    <mergeCell ref="I9:J9"/>
    <mergeCell ref="M9:N9"/>
    <mergeCell ref="Q9:R9"/>
    <mergeCell ref="W5:Y5"/>
    <mergeCell ref="U5:V5"/>
    <mergeCell ref="E10:F10"/>
    <mergeCell ref="I10:J10"/>
    <mergeCell ref="M10:N10"/>
    <mergeCell ref="Q10:R10"/>
    <mergeCell ref="E13:F13"/>
    <mergeCell ref="I13:J13"/>
    <mergeCell ref="M13:N13"/>
    <mergeCell ref="Q13:R13"/>
    <mergeCell ref="E14:F14"/>
    <mergeCell ref="I14:J14"/>
    <mergeCell ref="M14:N14"/>
    <mergeCell ref="Q14:R14"/>
    <mergeCell ref="E17:F17"/>
    <mergeCell ref="I17:J17"/>
    <mergeCell ref="M17:N17"/>
    <mergeCell ref="Q17:R17"/>
    <mergeCell ref="E18:F18"/>
    <mergeCell ref="I18:J18"/>
    <mergeCell ref="M18:N18"/>
    <mergeCell ref="Q18:R18"/>
    <mergeCell ref="A20:F20"/>
    <mergeCell ref="D31:E31"/>
    <mergeCell ref="D26:E26"/>
    <mergeCell ref="M46:N46"/>
    <mergeCell ref="H27:J27"/>
    <mergeCell ref="M27:N27"/>
    <mergeCell ref="H33:J33"/>
    <mergeCell ref="K33:L33"/>
    <mergeCell ref="M33:N33"/>
    <mergeCell ref="H34:J34"/>
    <mergeCell ref="K34:L34"/>
    <mergeCell ref="M34:N34"/>
    <mergeCell ref="H36:J36"/>
    <mergeCell ref="M36:N36"/>
    <mergeCell ref="H42:J42"/>
    <mergeCell ref="K42:L42"/>
    <mergeCell ref="C32:D32"/>
    <mergeCell ref="Y27:AA27"/>
    <mergeCell ref="H31:I31"/>
    <mergeCell ref="J31:L31"/>
    <mergeCell ref="H32:J32"/>
    <mergeCell ref="K32:L32"/>
    <mergeCell ref="M32:N32"/>
  </mergeCells>
  <phoneticPr fontId="0" type="noConversion"/>
  <dataValidations xWindow="400" yWindow="284" count="3">
    <dataValidation type="whole" operator="greaterThanOrEqual" allowBlank="1" showInputMessage="1" showErrorMessage="1" errorTitle="Invalid Entry" error="Enter a whole number of_x000a_zero or greater" promptTitle="ENTER:" prompt="Exposed Cases" sqref="L11 D7 P7 H7 H11 P11 P15 D11 L7 L15 H15 D15" xr:uid="{00000000-0002-0000-0300-000000000000}">
      <formula1>0</formula1>
    </dataValidation>
    <dataValidation type="whole" operator="greaterThanOrEqual" allowBlank="1" showInputMessage="1" showErrorMessage="1" errorTitle="Invalid Entry" error="Enter a whole number of_x000a_zero or greater" promptTitle="ENTER:" prompt="Unexposed Cases" sqref="M11 E7 Q7 I7 I11 Q11 Q15 M7 E11 M15 I15 E15" xr:uid="{00000000-0002-0000-0300-000001000000}">
      <formula1>0</formula1>
    </dataValidation>
    <dataValidation type="decimal" operator="greaterThan" allowBlank="1" showInputMessage="1" showErrorMessage="1" errorTitle="Invalid Entry" error="Enter an amount greater_x000a_than zero" promptTitle="ENTER:" prompt="Exposed Person-time" sqref="L8:M8 D8:E8 H12:I12 P16:Q16 H16:I16 P8:Q8 L16:M16 H8:I8 L12:M12 P12:Q12 D12:E12 D16:E16" xr:uid="{00000000-0002-0000-0300-000002000000}">
      <formula1>0</formula1>
    </dataValidation>
  </dataValidation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indexed="26"/>
  </sheetPr>
  <dimension ref="A1:AH125"/>
  <sheetViews>
    <sheetView workbookViewId="0">
      <selection activeCell="E14" sqref="E14:F14"/>
    </sheetView>
  </sheetViews>
  <sheetFormatPr baseColWidth="10" defaultColWidth="8.83203125" defaultRowHeight="13" x14ac:dyDescent="0.15"/>
  <cols>
    <col min="1" max="1" width="5" customWidth="1"/>
    <col min="2" max="2" width="9.1640625" customWidth="1"/>
    <col min="3" max="19" width="8.6640625" customWidth="1"/>
    <col min="20" max="20" width="6.6640625" customWidth="1"/>
    <col min="21" max="21" width="9.33203125" customWidth="1"/>
    <col min="22" max="22" width="5.6640625" customWidth="1"/>
    <col min="23" max="23" width="9.1640625" customWidth="1"/>
    <col min="25" max="25" width="7.33203125" customWidth="1"/>
    <col min="26" max="26" width="7.6640625" customWidth="1"/>
    <col min="27" max="28" width="9.6640625" customWidth="1"/>
    <col min="29" max="29" width="7.6640625" customWidth="1"/>
    <col min="30" max="30" width="8.6640625" customWidth="1"/>
    <col min="31" max="31" width="7.6640625" customWidth="1"/>
    <col min="32" max="41" width="12" customWidth="1"/>
    <col min="42" max="42" width="12" bestFit="1" customWidth="1"/>
  </cols>
  <sheetData>
    <row r="1" spans="1:34" x14ac:dyDescent="0.15">
      <c r="A1" s="1" t="s">
        <v>9</v>
      </c>
    </row>
    <row r="2" spans="1:34" x14ac:dyDescent="0.15">
      <c r="A2" s="2" t="s">
        <v>80</v>
      </c>
    </row>
    <row r="3" spans="1:34" x14ac:dyDescent="0.15">
      <c r="A3" s="2" t="s">
        <v>11</v>
      </c>
    </row>
    <row r="4" spans="1:34" x14ac:dyDescent="0.15">
      <c r="A4" s="2"/>
    </row>
    <row r="5" spans="1:34" ht="36.75" customHeight="1" thickBot="1" x14ac:dyDescent="0.2">
      <c r="U5" s="184" t="s">
        <v>12</v>
      </c>
      <c r="V5" s="227" t="s">
        <v>13</v>
      </c>
      <c r="W5" s="227"/>
      <c r="X5" s="227"/>
      <c r="Y5" s="227" t="s">
        <v>81</v>
      </c>
      <c r="Z5" s="227"/>
      <c r="AA5" s="227"/>
      <c r="AB5" s="227"/>
      <c r="AC5" s="227"/>
      <c r="AD5" s="227"/>
      <c r="AE5" s="227"/>
      <c r="AF5" s="227"/>
      <c r="AG5" s="227"/>
      <c r="AH5" s="227"/>
    </row>
    <row r="6" spans="1:34" ht="52" thickTop="1" x14ac:dyDescent="0.15">
      <c r="A6" s="3"/>
      <c r="B6" s="4"/>
      <c r="C6" s="4"/>
      <c r="D6" s="5" t="s">
        <v>16</v>
      </c>
      <c r="E6" s="5" t="s">
        <v>17</v>
      </c>
      <c r="F6" s="5" t="s">
        <v>18</v>
      </c>
      <c r="G6" s="6"/>
      <c r="H6" s="5" t="s">
        <v>16</v>
      </c>
      <c r="I6" s="5" t="s">
        <v>17</v>
      </c>
      <c r="J6" s="5" t="s">
        <v>18</v>
      </c>
      <c r="K6" s="6"/>
      <c r="L6" s="5" t="s">
        <v>16</v>
      </c>
      <c r="M6" s="5" t="s">
        <v>17</v>
      </c>
      <c r="N6" s="5" t="s">
        <v>18</v>
      </c>
      <c r="O6" s="6"/>
      <c r="P6" s="5" t="s">
        <v>16</v>
      </c>
      <c r="Q6" s="5" t="s">
        <v>17</v>
      </c>
      <c r="R6" s="7" t="s">
        <v>18</v>
      </c>
      <c r="S6" s="8"/>
      <c r="T6" s="30" t="s">
        <v>19</v>
      </c>
      <c r="U6" s="117" t="s">
        <v>21</v>
      </c>
      <c r="V6" s="42" t="s">
        <v>22</v>
      </c>
      <c r="W6" s="47" t="s">
        <v>23</v>
      </c>
      <c r="X6" s="48" t="s">
        <v>24</v>
      </c>
      <c r="Y6" s="125" t="s">
        <v>82</v>
      </c>
      <c r="Z6" s="126" t="s">
        <v>83</v>
      </c>
      <c r="AA6" s="126" t="s">
        <v>84</v>
      </c>
      <c r="AB6" s="126" t="s">
        <v>85</v>
      </c>
      <c r="AC6" s="126" t="s">
        <v>86</v>
      </c>
      <c r="AD6" s="126" t="s">
        <v>87</v>
      </c>
      <c r="AE6" s="126" t="s">
        <v>88</v>
      </c>
      <c r="AF6" s="126" t="s">
        <v>28</v>
      </c>
      <c r="AG6" s="126" t="s">
        <v>29</v>
      </c>
      <c r="AH6" s="124" t="s">
        <v>30</v>
      </c>
    </row>
    <row r="7" spans="1:34" x14ac:dyDescent="0.15">
      <c r="A7" s="10" t="s">
        <v>36</v>
      </c>
      <c r="D7" s="11"/>
      <c r="E7" s="11"/>
      <c r="F7" s="12" t="str">
        <f>IF(SUM(D7,E7)=0,"",SUM(D7,E7))</f>
        <v/>
      </c>
      <c r="H7" s="11"/>
      <c r="I7" s="11"/>
      <c r="J7" s="12" t="str">
        <f>IF(SUM(H7,I7)=0,"",SUM(H7,I7))</f>
        <v/>
      </c>
      <c r="L7" s="11"/>
      <c r="M7" s="11"/>
      <c r="N7" s="12" t="str">
        <f>IF(SUM(L7,M7)=0,"",SUM(L7,M7))</f>
        <v/>
      </c>
      <c r="P7" s="11"/>
      <c r="Q7" s="11"/>
      <c r="R7" s="13" t="str">
        <f>IF(SUM(P7,Q7)=0,"",SUM(P7,Q7))</f>
        <v/>
      </c>
      <c r="T7" s="30">
        <v>1</v>
      </c>
      <c r="U7" s="118" t="str">
        <f>IF(SUM(X7)&gt;0,IF(SUM(E7)*SUM(D8)&gt;0,D7*E8/E7/D8,"infinity"),"")</f>
        <v/>
      </c>
      <c r="V7" s="43" t="str">
        <f>IF(D7&gt;0,D7,"")</f>
        <v/>
      </c>
      <c r="W7" s="14" t="str">
        <f>IF(SUM(F9)&gt;0,F7*D9/F9,"")</f>
        <v/>
      </c>
      <c r="X7" s="44" t="str">
        <f>IF(SUM(F9)&gt;1,SUM(F7)*SUM(F8)*SUM(D9)*SUM(E9)/F9/F9/(F9-1),"")</f>
        <v/>
      </c>
      <c r="Y7" s="43" t="str">
        <f>IF(SUM(F9)&gt;0,D7*E8/F9,"")</f>
        <v/>
      </c>
      <c r="Z7" s="14" t="str">
        <f>IF(SUM(F9)&gt;0,E7*D8/F9,"")</f>
        <v/>
      </c>
      <c r="AA7" s="14" t="str">
        <f>IF(SUM(X7)&gt;0,(D7+E8)/F9,"")</f>
        <v/>
      </c>
      <c r="AB7" s="14" t="str">
        <f>IF(SUM(X7)&gt;0,(E7+D8)/F9,"")</f>
        <v/>
      </c>
      <c r="AC7" s="14" t="str">
        <f>IF(SUM($X7)&gt;0,Y7*AA7,"")</f>
        <v/>
      </c>
      <c r="AD7" s="14" t="str">
        <f>IF(SUM($X7)&gt;0,Y7*AB7 + Z7*AA7,"")</f>
        <v/>
      </c>
      <c r="AE7" s="14" t="str">
        <f>IF(SUM($X7)&gt;0,Z7*AB7,"")</f>
        <v/>
      </c>
      <c r="AF7" s="14" t="str">
        <f>IF(SUM(E7)*SUM(D8)*SUM(E8)*SUM(D7)&gt;0,LN(D7*E8/E7/D8),"")</f>
        <v/>
      </c>
      <c r="AG7" s="14" t="str">
        <f>IF(SUM(E7)*SUM(D8)*SUM(E8)*SUM(D7)&gt;0,1/D7 + 1/E7 +1/D8 +1/E8,"")</f>
        <v/>
      </c>
      <c r="AH7" s="44" t="str">
        <f xml:space="preserve"> IF(SUM(E7)*SUM(D8)*SUM(E8)*SUM(D7)&gt;0, ((AF7 - LN($J$22)))^2/AG7,"")</f>
        <v/>
      </c>
    </row>
    <row r="8" spans="1:34" x14ac:dyDescent="0.15">
      <c r="A8" s="10" t="s">
        <v>89</v>
      </c>
      <c r="D8" s="11"/>
      <c r="E8" s="11"/>
      <c r="F8" s="12" t="str">
        <f>IF(SUM(D8,E8)=0,"",SUM(D8,E8))</f>
        <v/>
      </c>
      <c r="H8" s="11"/>
      <c r="I8" s="11"/>
      <c r="J8" s="12" t="str">
        <f>IF(SUM(H8,I8)=0,"",SUM(H8,I8))</f>
        <v/>
      </c>
      <c r="L8" s="11"/>
      <c r="M8" s="11"/>
      <c r="N8" s="12" t="str">
        <f>IF(SUM(L8,M8)=0,"",SUM(L8,M8))</f>
        <v/>
      </c>
      <c r="P8" s="11"/>
      <c r="Q8" s="11"/>
      <c r="R8" s="13" t="str">
        <f>IF(SUM(P8,Q8)=0,"",SUM(P8,Q8))</f>
        <v/>
      </c>
      <c r="T8" s="30">
        <v>2</v>
      </c>
      <c r="U8" s="118" t="str">
        <f>IF(SUM(X8)&gt;0,IF(SUM(I7)*SUM(H8)&gt;0,H7*I8/I7/H8,"infinity"),"")</f>
        <v/>
      </c>
      <c r="V8" s="43" t="str">
        <f>IF(H7&gt;0,H7,"")</f>
        <v/>
      </c>
      <c r="W8" s="14" t="str">
        <f>IF(SUM(J9)&gt;0,J7*H9/J9,"")</f>
        <v/>
      </c>
      <c r="X8" s="44" t="str">
        <f>IF(SUM(J9)&gt;1,SUM(J7)*SUM(J8)*SUM(H9)*SUM(I9)/J9/J9/(J9-1),"")</f>
        <v/>
      </c>
      <c r="Y8" s="43" t="str">
        <f>IF(SUM(J9)&gt;0,H7*I8/J9,"")</f>
        <v/>
      </c>
      <c r="Z8" s="14" t="str">
        <f>IF(SUM(J9)&gt;0,I7*H8/J9,"")</f>
        <v/>
      </c>
      <c r="AA8" s="14" t="str">
        <f>IF(SUM(X8)&gt;0,(H7+I8)/J9,"")</f>
        <v/>
      </c>
      <c r="AB8" s="14" t="str">
        <f>IF(SUM(X8)&gt;0,(I7+H8)/J9,"")</f>
        <v/>
      </c>
      <c r="AC8" s="14" t="str">
        <f t="shared" ref="AC8:AC17" si="0">IF(SUM($X8)&gt;0,Y8*AA8,"")</f>
        <v/>
      </c>
      <c r="AD8" s="14" t="str">
        <f t="shared" ref="AD8:AD17" si="1">IF(SUM($X8)&gt;0,Y8*AB8 + Z8*AA8,"")</f>
        <v/>
      </c>
      <c r="AE8" s="14" t="str">
        <f t="shared" ref="AE8:AE17" si="2">IF(SUM($X8)&gt;0,Z8*AB8,"")</f>
        <v/>
      </c>
      <c r="AF8" s="14" t="str">
        <f>IF(SUM(I7)*SUM(H8)*SUM(I8)*SUM(H7)&gt;0,LN(H7*I8/H8/I7),"")</f>
        <v/>
      </c>
      <c r="AG8" s="14" t="str">
        <f>IF(SUM(I7)*SUM(H8)*SUM(I8)*SUM(H7)&gt;0,1/H7 + 1/I7 +1/H8 +1/I8,"")</f>
        <v/>
      </c>
      <c r="AH8" s="44" t="str">
        <f xml:space="preserve"> IF(SUM(I7)*SUM(H8)*SUM(I8)*SUM(H7)&gt;0, ((AF8 - LN($J$22)))^2/AG8,"")</f>
        <v/>
      </c>
    </row>
    <row r="9" spans="1:34" x14ac:dyDescent="0.15">
      <c r="A9" s="10" t="s">
        <v>18</v>
      </c>
      <c r="D9" s="12" t="str">
        <f>IF(SUM(D7,D8)=0,"",SUM(D7,D8))</f>
        <v/>
      </c>
      <c r="E9" s="12" t="str">
        <f>IF(SUM(E7,E8)=0,"",SUM(E7,E8))</f>
        <v/>
      </c>
      <c r="F9" s="15" t="str">
        <f>IF(SUM(D9,E9)=0,"",SUM(D9,E9))</f>
        <v/>
      </c>
      <c r="H9" s="12" t="str">
        <f>IF(SUM(H7,H8)=0,"",SUM(H7,H8))</f>
        <v/>
      </c>
      <c r="I9" s="12" t="str">
        <f>IF(SUM(I7,I8)=0,"",SUM(I7,I8))</f>
        <v/>
      </c>
      <c r="J9" s="15" t="str">
        <f>IF(SUM(H9,I9)=0,"",SUM(H9,I9))</f>
        <v/>
      </c>
      <c r="L9" s="12" t="str">
        <f>IF(SUM(L7,L8)=0,"",SUM(L7,L8))</f>
        <v/>
      </c>
      <c r="M9" s="12" t="str">
        <f>IF(SUM(M7,M8)=0,"",SUM(M7,M8))</f>
        <v/>
      </c>
      <c r="N9" s="15" t="str">
        <f>IF(SUM(L9,M9)=0,"",SUM(L9,M9))</f>
        <v/>
      </c>
      <c r="P9" s="12" t="str">
        <f>IF(SUM(P7,P8)=0,"",SUM(P7,P8))</f>
        <v/>
      </c>
      <c r="Q9" s="12" t="str">
        <f>IF(SUM(Q7,Q8)=0,"",SUM(Q7,Q8))</f>
        <v/>
      </c>
      <c r="R9" s="16" t="str">
        <f>IF(SUM(P9,Q9)=0,"",SUM(P9,Q9))</f>
        <v/>
      </c>
      <c r="T9" s="30">
        <v>3</v>
      </c>
      <c r="U9" s="118" t="str">
        <f>IF(SUM(X9)&gt;0,IF(SUM(M7)*SUM(L8)&gt;0,L7*M8/L8/M7,"infinity"),"")</f>
        <v/>
      </c>
      <c r="V9" s="43" t="str">
        <f>IF(L7&gt;0,L7,"")</f>
        <v/>
      </c>
      <c r="W9" s="14" t="str">
        <f>IF(SUM(N9)&gt;0,N7*L9/N9,"")</f>
        <v/>
      </c>
      <c r="X9" s="44" t="str">
        <f>IF(SUM(N9)&gt;1,SUM(N7)*SUM(N8)*SUM(L9)*SUM(M9)/N9/N9/(N9-1),"")</f>
        <v/>
      </c>
      <c r="Y9" s="43" t="str">
        <f>IF(SUM(N9)&gt;0,L7*M8/N9,"")</f>
        <v/>
      </c>
      <c r="Z9" s="14" t="str">
        <f>IF(SUM(N9)&gt;0,M7*L8/N9,"")</f>
        <v/>
      </c>
      <c r="AA9" s="14" t="str">
        <f>IF(SUM(X9)&gt;0,(L7+M8)/N9,"")</f>
        <v/>
      </c>
      <c r="AB9" s="14" t="str">
        <f>IF(SUM(X9)&gt;0,(M7+L8)/N9,"")</f>
        <v/>
      </c>
      <c r="AC9" s="14" t="str">
        <f t="shared" si="0"/>
        <v/>
      </c>
      <c r="AD9" s="14" t="str">
        <f t="shared" si="1"/>
        <v/>
      </c>
      <c r="AE9" s="14" t="str">
        <f t="shared" si="2"/>
        <v/>
      </c>
      <c r="AF9" s="14" t="str">
        <f>IF(SUM(L7)*SUM(L8)*SUM(M7)*SUM(M8)&gt;0,LN(L7*M8/L8/M7),"")</f>
        <v/>
      </c>
      <c r="AG9" s="14" t="str">
        <f>IF(SUM(L7)*SUM(L8)*SUM(M7)*SUM(M8)&gt;0,1/L7 + 1/M8 +1/L8 +1/M7,"")</f>
        <v/>
      </c>
      <c r="AH9" s="44" t="str">
        <f xml:space="preserve"> IF(SUM(L7)*SUM(L8)*SUM(M7)*SUM(M8),((AF9 - LN($J$22)))^2/AG9,"")</f>
        <v/>
      </c>
    </row>
    <row r="10" spans="1:34" x14ac:dyDescent="0.15">
      <c r="A10" s="10"/>
      <c r="D10" s="17" t="str">
        <f>IF(U7&lt;&gt;"","OR=","")</f>
        <v/>
      </c>
      <c r="E10" s="194" t="str">
        <f>U7</f>
        <v/>
      </c>
      <c r="F10" s="194"/>
      <c r="G10" s="18"/>
      <c r="H10" s="17" t="str">
        <f>IF(U8&lt;&gt;"","OR=","")</f>
        <v/>
      </c>
      <c r="I10" s="194" t="str">
        <f>U8</f>
        <v/>
      </c>
      <c r="J10" s="194"/>
      <c r="K10" s="18"/>
      <c r="L10" s="17" t="str">
        <f>IF(U9&lt;&gt;"","OR=","")</f>
        <v/>
      </c>
      <c r="M10" s="228" t="str">
        <f>U9</f>
        <v/>
      </c>
      <c r="N10" s="228"/>
      <c r="O10" s="18"/>
      <c r="P10" s="17" t="str">
        <f>IF(U10&lt;&gt;"","OR=","")</f>
        <v/>
      </c>
      <c r="Q10" s="228" t="str">
        <f>U10</f>
        <v/>
      </c>
      <c r="R10" s="229"/>
      <c r="T10" s="30">
        <v>4</v>
      </c>
      <c r="U10" s="118" t="str">
        <f>IF(SUM(X10)&gt;0,IF(SUM(Q7)*SUM(P8)&gt;0,P7*Q8/Q7/P8,"infinity"),"")</f>
        <v/>
      </c>
      <c r="V10" s="43" t="str">
        <f>IF(P7&gt;0,P7,"")</f>
        <v/>
      </c>
      <c r="W10" s="14" t="str">
        <f>IF(SUM(R9)&gt;0,R7*P9/R9,"")</f>
        <v/>
      </c>
      <c r="X10" s="44" t="str">
        <f>IF(SUM(R9)&gt;1,SUM(R7)*SUM(R8)*SUM(P9)*SUM(Q9)/R9/R9/(R9-1),"")</f>
        <v/>
      </c>
      <c r="Y10" s="43" t="str">
        <f>IF(SUM(R9)&gt;0,P7*Q8/R9,"")</f>
        <v/>
      </c>
      <c r="Z10" s="14" t="str">
        <f>IF(SUM(R9)&gt;0,P8*Q7/R9,"")</f>
        <v/>
      </c>
      <c r="AA10" s="14" t="str">
        <f>IF(SUM(X10)&gt;0,(P7+Q8)/R9,"")</f>
        <v/>
      </c>
      <c r="AB10" s="14" t="str">
        <f>IF(SUM(X10)&gt;0,(Q7+P8)/R9,"")</f>
        <v/>
      </c>
      <c r="AC10" s="14" t="str">
        <f t="shared" si="0"/>
        <v/>
      </c>
      <c r="AD10" s="14" t="str">
        <f t="shared" si="1"/>
        <v/>
      </c>
      <c r="AE10" s="14" t="str">
        <f t="shared" si="2"/>
        <v/>
      </c>
      <c r="AF10" s="14" t="str">
        <f>IF(SUM(P7)*SUM(Q8)*SUM(P8)*SUM(Q7)&gt;0,LN(P7*Q8/P8/Q7),"")</f>
        <v/>
      </c>
      <c r="AG10" s="14" t="str">
        <f>IF(SUM(P7)*SUM(Q8)*SUM(P8)*SUM(Q7)&gt;0,1/P7 + 1/Q8 +1/P8 +1/Q7,"")</f>
        <v/>
      </c>
      <c r="AH10" s="44" t="str">
        <f xml:space="preserve"> IF(SUM(P7)*SUM(Q8)*SUM(P8)*SUM(Q7)&gt;0, ((AF10 - LN($J$22)))^2/AG10, "")</f>
        <v/>
      </c>
    </row>
    <row r="11" spans="1:34" x14ac:dyDescent="0.15">
      <c r="A11" s="10" t="s">
        <v>36</v>
      </c>
      <c r="D11" s="11"/>
      <c r="E11" s="11"/>
      <c r="F11" s="12" t="str">
        <f>IF(SUM(D11,E11)=0,"",SUM(D11,E11))</f>
        <v/>
      </c>
      <c r="H11" s="11"/>
      <c r="I11" s="11"/>
      <c r="J11" s="12" t="str">
        <f>IF(SUM(H11,I11)=0,"",SUM(H11,I11))</f>
        <v/>
      </c>
      <c r="L11" s="11"/>
      <c r="M11" s="11"/>
      <c r="N11" s="12" t="str">
        <f>IF(SUM(L11,M11)=0,"",SUM(L11,M11))</f>
        <v/>
      </c>
      <c r="P11" s="11"/>
      <c r="Q11" s="11"/>
      <c r="R11" s="13" t="str">
        <f>IF(SUM(P11,Q11)=0,"",SUM(P11,Q11))</f>
        <v/>
      </c>
      <c r="T11" s="30">
        <v>5</v>
      </c>
      <c r="U11" s="118" t="str">
        <f>IF(SUM(X11)&gt;0,IF(SUM(E11)*SUM(D12)&gt;0,D11*E12/E11/D12,"infinity"),"")</f>
        <v/>
      </c>
      <c r="V11" s="43" t="str">
        <f>IF(D11&gt;0,D11,"")</f>
        <v/>
      </c>
      <c r="W11" s="14" t="str">
        <f>IF(SUM(F13)&gt;0,F11*D13/F13,"")</f>
        <v/>
      </c>
      <c r="X11" s="44" t="str">
        <f>IF(SUM(F13)&gt;1,SUM(F11)*SUM(F12)*SUM(D13)*SUM(E13)/F13/F13/(F13-1),"")</f>
        <v/>
      </c>
      <c r="Y11" s="43" t="str">
        <f>IF(SUM(F13)&gt;0,D11*E12/F13,"")</f>
        <v/>
      </c>
      <c r="Z11" s="14" t="str">
        <f>IF(SUM(F13)&gt;0,E11*D12/F13,"")</f>
        <v/>
      </c>
      <c r="AA11" s="14" t="str">
        <f>IF(SUM(X11)&gt;0,(D11+E12)/F13,"")</f>
        <v/>
      </c>
      <c r="AB11" s="14" t="str">
        <f>IF(SUM(X11)&gt;0,(E11+D12)/F13,"")</f>
        <v/>
      </c>
      <c r="AC11" s="14" t="str">
        <f t="shared" si="0"/>
        <v/>
      </c>
      <c r="AD11" s="14" t="str">
        <f t="shared" si="1"/>
        <v/>
      </c>
      <c r="AE11" s="14" t="str">
        <f t="shared" si="2"/>
        <v/>
      </c>
      <c r="AF11" s="14" t="str">
        <f>IF(SUM(E11)*SUM(D12)*SUM(E12)*SUM(D11)&gt;0,LN(D11*E12/E11/D12),"")</f>
        <v/>
      </c>
      <c r="AG11" s="14" t="str">
        <f>IF(SUM(E11)*SUM(D12)*SUM(E12)*SUM(D11)&gt;0,1/D11 + 1/E11 +1/D12 +1/E12,"")</f>
        <v/>
      </c>
      <c r="AH11" s="44" t="str">
        <f xml:space="preserve"> IF(SUM(E11)*SUM(D12)*SUM(E12)*SUM(D11)&gt;0, ((AF11 - LN($J$22)))^2/AG11,"")</f>
        <v/>
      </c>
    </row>
    <row r="12" spans="1:34" x14ac:dyDescent="0.15">
      <c r="A12" s="10" t="s">
        <v>89</v>
      </c>
      <c r="D12" s="11"/>
      <c r="E12" s="11"/>
      <c r="F12" s="12" t="str">
        <f>IF(SUM(D12,E12)=0,"",SUM(D12,E12))</f>
        <v/>
      </c>
      <c r="H12" s="11"/>
      <c r="I12" s="11"/>
      <c r="J12" s="12" t="str">
        <f>IF(SUM(H12,I12)=0,"",SUM(H12,I12))</f>
        <v/>
      </c>
      <c r="L12" s="11"/>
      <c r="M12" s="11"/>
      <c r="N12" s="12" t="str">
        <f>IF(SUM(L12,M12)=0,"",SUM(L12,M12))</f>
        <v/>
      </c>
      <c r="P12" s="11"/>
      <c r="Q12" s="11"/>
      <c r="R12" s="13" t="str">
        <f>IF(SUM(P12,Q12)=0,"",SUM(P12,Q12))</f>
        <v/>
      </c>
      <c r="T12" s="30">
        <v>6</v>
      </c>
      <c r="U12" s="118" t="str">
        <f>IF(SUM(X12)&gt;0,IF(SUM(I11)*SUM(H12)&gt;0,H11*I12/I11/H12,"infinity"),"")</f>
        <v/>
      </c>
      <c r="V12" s="43" t="str">
        <f>IF(H11&gt;0,H11,"")</f>
        <v/>
      </c>
      <c r="W12" s="14" t="str">
        <f>IF(SUM(J13)&gt;0,J11*H13/J13,"")</f>
        <v/>
      </c>
      <c r="X12" s="44" t="str">
        <f>IF(SUM(J13)&gt;1,SUM(J11)*SUM(J12)*SUM(H13)*SUM(I13)/J13/J13/(J13-1),"")</f>
        <v/>
      </c>
      <c r="Y12" s="43" t="str">
        <f>IF(SUM(J13)&gt;0,H11*I12/J13,"")</f>
        <v/>
      </c>
      <c r="Z12" s="14" t="str">
        <f>IF(SUM(J13)&gt;0,I11*H12/J13,"")</f>
        <v/>
      </c>
      <c r="AA12" s="14" t="str">
        <f>IF(SUM(X12)&gt;0,(H11+I12)/J13,"")</f>
        <v/>
      </c>
      <c r="AB12" s="14" t="str">
        <f>IF(SUM(X12)&gt;0,(I11+H12)/J13,"")</f>
        <v/>
      </c>
      <c r="AC12" s="14" t="str">
        <f t="shared" si="0"/>
        <v/>
      </c>
      <c r="AD12" s="14" t="str">
        <f t="shared" si="1"/>
        <v/>
      </c>
      <c r="AE12" s="14" t="str">
        <f t="shared" si="2"/>
        <v/>
      </c>
      <c r="AF12" s="14" t="str">
        <f>IF(SUM(I11)*SUM(H12)*SUM(I12)*SUM(H11)&gt;0,LN(H11*I12/H12/I11),"")</f>
        <v/>
      </c>
      <c r="AG12" s="14" t="str">
        <f>IF(SUM(I11)*SUM(H12)*SUM(I12)*SUM(H11)&gt;0,1/H11 + 1/I11 +1/H12 +1/I12,"")</f>
        <v/>
      </c>
      <c r="AH12" s="44" t="str">
        <f xml:space="preserve"> IF(SUM(I11)*SUM(H12)*SUM(I12)*SUM(H11)&gt;0, ((AF12 - LN($J$22)))^2/AG12,"")</f>
        <v/>
      </c>
    </row>
    <row r="13" spans="1:34" x14ac:dyDescent="0.15">
      <c r="A13" s="10" t="s">
        <v>18</v>
      </c>
      <c r="D13" s="12" t="str">
        <f>IF(SUM(D11,D12)=0,"",SUM(D11,D12))</f>
        <v/>
      </c>
      <c r="E13" s="12" t="str">
        <f>IF(SUM(E11,E12)=0,"",SUM(E11,E12))</f>
        <v/>
      </c>
      <c r="F13" s="15" t="str">
        <f>IF(SUM(D13,E13)=0,"",SUM(D13,E13))</f>
        <v/>
      </c>
      <c r="H13" s="12" t="str">
        <f>IF(SUM(H11,H12)=0,"",SUM(H11,H12))</f>
        <v/>
      </c>
      <c r="I13" s="12" t="str">
        <f>IF(SUM(I11,I12)=0,"",SUM(I11,I12))</f>
        <v/>
      </c>
      <c r="J13" s="15" t="str">
        <f>IF(SUM(H13,I13)=0,"",SUM(H13,I13))</f>
        <v/>
      </c>
      <c r="L13" s="12" t="str">
        <f>IF(SUM(L11,L12)=0,"",SUM(L11,L12))</f>
        <v/>
      </c>
      <c r="M13" s="12" t="str">
        <f>IF(SUM(M11,M12)=0,"",SUM(M11,M12))</f>
        <v/>
      </c>
      <c r="N13" s="15" t="str">
        <f>IF(SUM(L13,M13)=0,"",SUM(L13,M13))</f>
        <v/>
      </c>
      <c r="P13" s="12" t="str">
        <f>IF(SUM(P11,P12)=0,"",SUM(P11,P12))</f>
        <v/>
      </c>
      <c r="Q13" s="12" t="str">
        <f>IF(SUM(Q11,Q12)=0,"",SUM(Q11,Q12))</f>
        <v/>
      </c>
      <c r="R13" s="16" t="str">
        <f>IF(SUM(P13,Q13)=0,"",SUM(P13,Q13))</f>
        <v/>
      </c>
      <c r="T13" s="30">
        <v>7</v>
      </c>
      <c r="U13" s="118" t="str">
        <f>IF(SUM(X13)&gt;0,IF(SUM(M11)*SUM(L12)&gt;0,L11*M12/L12/M11,"infinity"),"")</f>
        <v/>
      </c>
      <c r="V13" s="43" t="str">
        <f>IF(L11&gt;0,L11,"")</f>
        <v/>
      </c>
      <c r="W13" s="14" t="str">
        <f>IF(SUM(N13)&gt;0,N11*L13/N13,"")</f>
        <v/>
      </c>
      <c r="X13" s="44" t="str">
        <f>IF(SUM(N13)&gt;1,SUM(N11)*SUM(N12)*SUM(L13)*SUM(M13)/N13/N13/(N13-1),"")</f>
        <v/>
      </c>
      <c r="Y13" s="43" t="str">
        <f>IF(SUM(N13)&gt;0,L11*M12/N13,"")</f>
        <v/>
      </c>
      <c r="Z13" s="14" t="str">
        <f>IF(SUM(N13)&gt;0,M11*L12/N13,"")</f>
        <v/>
      </c>
      <c r="AA13" s="14" t="str">
        <f>IF(SUM(X13)&gt;0,(L11+M12)/N13,"")</f>
        <v/>
      </c>
      <c r="AB13" s="14" t="str">
        <f>IF(SUM(X13)&gt;0,(M11+L12)/N13,"")</f>
        <v/>
      </c>
      <c r="AC13" s="14" t="str">
        <f t="shared" si="0"/>
        <v/>
      </c>
      <c r="AD13" s="14" t="str">
        <f t="shared" si="1"/>
        <v/>
      </c>
      <c r="AE13" s="14" t="str">
        <f t="shared" si="2"/>
        <v/>
      </c>
      <c r="AF13" s="14" t="str">
        <f>IF(SUM(L11)*SUM(L12)*SUM(M11)*SUM(M12)&gt;0,LN(L11*M12/L12/M11),"")</f>
        <v/>
      </c>
      <c r="AG13" s="14" t="str">
        <f>IF(SUM(L11)*SUM(L12)*SUM(M11)*SUM(M12)&gt;0,1/L11 + 1/M12 +1/L12 +1/M11,"")</f>
        <v/>
      </c>
      <c r="AH13" s="44" t="str">
        <f xml:space="preserve"> IF(SUM(L11)*SUM(L12)*SUM(M11)*SUM(M12),((AF13 - LN($J$22)))^2/AG13,"")</f>
        <v/>
      </c>
    </row>
    <row r="14" spans="1:34" x14ac:dyDescent="0.15">
      <c r="A14" s="10"/>
      <c r="D14" s="17" t="str">
        <f>IF(U11&lt;&gt;"","OR=","")</f>
        <v/>
      </c>
      <c r="E14" s="235" t="str">
        <f>U11</f>
        <v/>
      </c>
      <c r="F14" s="235"/>
      <c r="G14" s="18"/>
      <c r="H14" s="17" t="str">
        <f>IF(U12&lt;&gt;"","OR=","")</f>
        <v/>
      </c>
      <c r="I14" s="194" t="str">
        <f>U12</f>
        <v/>
      </c>
      <c r="J14" s="194"/>
      <c r="K14" s="18"/>
      <c r="L14" s="17" t="str">
        <f>IF(U13&lt;&gt;"","OR=","")</f>
        <v/>
      </c>
      <c r="M14" s="228" t="str">
        <f>U13</f>
        <v/>
      </c>
      <c r="N14" s="228"/>
      <c r="O14" s="18"/>
      <c r="P14" s="17" t="str">
        <f>IF(U14&lt;&gt;"","OR=","")</f>
        <v/>
      </c>
      <c r="Q14" s="228" t="str">
        <f>U14</f>
        <v/>
      </c>
      <c r="R14" s="229"/>
      <c r="T14" s="30">
        <v>8</v>
      </c>
      <c r="U14" s="118" t="str">
        <f>IF(SUM(X14)&gt;0,IF(SUM(Q11)*SUM(P12)&gt;0,P11*Q12/Q11/P12,"infinity"),"")</f>
        <v/>
      </c>
      <c r="V14" s="43" t="str">
        <f>IF(P11&gt;0,P11,"")</f>
        <v/>
      </c>
      <c r="W14" s="14" t="str">
        <f>IF(SUM(R13)&gt;0,R11*P13/R13,"")</f>
        <v/>
      </c>
      <c r="X14" s="44" t="str">
        <f>IF(SUM(R13)&gt;1,SUM(R11)*SUM(R12)*SUM(P13)*SUM(Q13)/R13/R13/(R13-1),"")</f>
        <v/>
      </c>
      <c r="Y14" s="43" t="str">
        <f>IF(SUM(R13)&gt;0,P11*Q12/R13,"")</f>
        <v/>
      </c>
      <c r="Z14" s="14" t="str">
        <f>IF(SUM(R13)&gt;0,P12*Q11/R13,"")</f>
        <v/>
      </c>
      <c r="AA14" s="14" t="str">
        <f>IF(SUM(X14)&gt;0,(P11+Q12)/R13,"")</f>
        <v/>
      </c>
      <c r="AB14" s="14" t="str">
        <f>IF(SUM(X14)&gt;0,(Q11+P12)/R13,"")</f>
        <v/>
      </c>
      <c r="AC14" s="14" t="str">
        <f t="shared" si="0"/>
        <v/>
      </c>
      <c r="AD14" s="14" t="str">
        <f t="shared" si="1"/>
        <v/>
      </c>
      <c r="AE14" s="14" t="str">
        <f t="shared" si="2"/>
        <v/>
      </c>
      <c r="AF14" s="14" t="str">
        <f>IF(SUM(P11)*SUM(Q12)*SUM(P12)*SUM(Q11)&gt;0,LN(P11*Q12/P12/Q11),"")</f>
        <v/>
      </c>
      <c r="AG14" s="14" t="str">
        <f>IF(SUM(P11)*SUM(Q12)*SUM(P12)*SUM(Q11)&gt;0,1/P11 + 1/Q12 +1/P12 +1/Q11,"")</f>
        <v/>
      </c>
      <c r="AH14" s="44" t="str">
        <f xml:space="preserve"> IF(SUM(P11)*SUM(Q12)*SUM(P12)*SUM(Q11)&gt;0, ((AF14 - LN($J$22)))^2/AG14, "")</f>
        <v/>
      </c>
    </row>
    <row r="15" spans="1:34" x14ac:dyDescent="0.15">
      <c r="A15" s="10" t="s">
        <v>36</v>
      </c>
      <c r="D15" s="11"/>
      <c r="E15" s="11"/>
      <c r="F15" s="12" t="str">
        <f>IF(SUM(D15,E15)=0,"",SUM(D15,E15))</f>
        <v/>
      </c>
      <c r="H15" s="11"/>
      <c r="I15" s="11"/>
      <c r="J15" s="12" t="str">
        <f>IF(SUM(H15,I15)=0,"",SUM(H15,I15))</f>
        <v/>
      </c>
      <c r="L15" s="11"/>
      <c r="M15" s="11"/>
      <c r="N15" s="12" t="str">
        <f>IF(SUM(L15,M15)=0,"",SUM(L15,M15))</f>
        <v/>
      </c>
      <c r="P15" s="11"/>
      <c r="Q15" s="11"/>
      <c r="R15" s="13" t="str">
        <f>IF(SUM(P15,Q15)=0,"",SUM(P15,Q15))</f>
        <v/>
      </c>
      <c r="T15" s="30">
        <v>9</v>
      </c>
      <c r="U15" s="118" t="str">
        <f>IF(SUM(X15)&gt;0,IF(SUM(E15)*SUM(D16)&gt;0,D15*E16/E15/D16,"infinity"),"")</f>
        <v/>
      </c>
      <c r="V15" s="43" t="str">
        <f>IF(D15&gt;0,D15,"")</f>
        <v/>
      </c>
      <c r="W15" s="14" t="str">
        <f>IF(SUM(F17)&gt;0,F15*D17/F17,"")</f>
        <v/>
      </c>
      <c r="X15" s="44" t="str">
        <f>IF(SUM(F17)&gt;1,SUM(F15)*SUM(F16)*SUM(D17)*SUM(E17)/F17/F17/(F17-1),"")</f>
        <v/>
      </c>
      <c r="Y15" s="43" t="str">
        <f>IF(SUM(F17)&gt;0,D15*E16/F17,"")</f>
        <v/>
      </c>
      <c r="Z15" s="14" t="str">
        <f>IF(SUM(F17)&gt;0,E15*D16/F17,"")</f>
        <v/>
      </c>
      <c r="AA15" s="14" t="str">
        <f>IF(SUM(X15)&gt;0,(D15+E16)/F17,"")</f>
        <v/>
      </c>
      <c r="AB15" s="14" t="str">
        <f>IF(SUM(X15)&gt;0,(E15+D16)/F17,"")</f>
        <v/>
      </c>
      <c r="AC15" s="14" t="str">
        <f t="shared" si="0"/>
        <v/>
      </c>
      <c r="AD15" s="14" t="str">
        <f t="shared" si="1"/>
        <v/>
      </c>
      <c r="AE15" s="14" t="str">
        <f t="shared" si="2"/>
        <v/>
      </c>
      <c r="AF15" s="14" t="str">
        <f>IF(SUM(E15)*SUM(D16)*SUM(E16)*SUM(D15)&gt;0,LN(D15*E16/E15/D16),"")</f>
        <v/>
      </c>
      <c r="AG15" s="14" t="str">
        <f>IF(SUM(E15)*SUM(D16)*SUM(E16)*SUM(D15)&gt;0,1/D15 + 1/E15 +1/D16 +1/E16,"")</f>
        <v/>
      </c>
      <c r="AH15" s="44" t="str">
        <f xml:space="preserve"> IF(SUM(E15)*SUM(D16)*SUM(E16)*SUM(D15)&gt;0, ((AF15 - LN($J$22)))^2/AG15,"")</f>
        <v/>
      </c>
    </row>
    <row r="16" spans="1:34" x14ac:dyDescent="0.15">
      <c r="A16" s="10" t="s">
        <v>89</v>
      </c>
      <c r="D16" s="11"/>
      <c r="E16" s="11"/>
      <c r="F16" s="12" t="str">
        <f>IF(SUM(D16,E16)=0,"",SUM(D16,E16))</f>
        <v/>
      </c>
      <c r="H16" s="11"/>
      <c r="I16" s="11"/>
      <c r="J16" s="12" t="str">
        <f>IF(SUM(H16,I16)=0,"",SUM(H16,I16))</f>
        <v/>
      </c>
      <c r="L16" s="11"/>
      <c r="M16" s="11"/>
      <c r="N16" s="12" t="str">
        <f>IF(SUM(L16,M16)=0,"",SUM(L16,M16))</f>
        <v/>
      </c>
      <c r="P16" s="11"/>
      <c r="Q16" s="11"/>
      <c r="R16" s="13" t="str">
        <f>IF(SUM(P16,Q16)=0,"",SUM(P16,Q16))</f>
        <v/>
      </c>
      <c r="T16" s="30">
        <v>10</v>
      </c>
      <c r="U16" s="118" t="str">
        <f>IF(SUM(X16)&gt;0,IF(SUM(I15)*SUM(H16)&gt;0,H15*I16/I15/H16,"infinity"),"")</f>
        <v/>
      </c>
      <c r="V16" s="43" t="str">
        <f>IF(H15&gt;0,H15,"")</f>
        <v/>
      </c>
      <c r="W16" s="14" t="str">
        <f>IF(SUM(J17)&gt;0,J15*H17/J17,"")</f>
        <v/>
      </c>
      <c r="X16" s="44" t="str">
        <f>IF(SUM(J17)&gt;1,SUM(J15)*SUM(J16)*SUM(H17)*SUM(I17)/J17/J17/(J17-1),"")</f>
        <v/>
      </c>
      <c r="Y16" s="43" t="str">
        <f>IF(SUM(J17)&gt;0,H15*I16/J17,"")</f>
        <v/>
      </c>
      <c r="Z16" s="14" t="str">
        <f>IF(SUM(J17)&gt;0,I15*H16/J17,"")</f>
        <v/>
      </c>
      <c r="AA16" s="14" t="str">
        <f>IF(SUM(X16)&gt;0,(H15+I16)/J17,"")</f>
        <v/>
      </c>
      <c r="AB16" s="14" t="str">
        <f>IF(SUM(X16)&gt;0,(I15+H16)/J17,"")</f>
        <v/>
      </c>
      <c r="AC16" s="14" t="str">
        <f t="shared" si="0"/>
        <v/>
      </c>
      <c r="AD16" s="14" t="str">
        <f t="shared" si="1"/>
        <v/>
      </c>
      <c r="AE16" s="14" t="str">
        <f t="shared" si="2"/>
        <v/>
      </c>
      <c r="AF16" s="14" t="str">
        <f>IF(SUM(I15)*SUM(H16)*SUM(I16)*SUM(H15)&gt;0,LN(H15*I16/H16/I15),"")</f>
        <v/>
      </c>
      <c r="AG16" s="14" t="str">
        <f>IF(SUM(I15)*SUM(H16)*SUM(I16)*SUM(H15)&gt;0,1/H15 + 1/I15 +1/H16 +1/I16,"")</f>
        <v/>
      </c>
      <c r="AH16" s="44" t="str">
        <f xml:space="preserve"> IF(SUM(I15)*SUM(H16)*SUM(I16)*SUM(H15)&gt;0, ((AF16 - LN($J$22)))^2/AG16,"")</f>
        <v/>
      </c>
    </row>
    <row r="17" spans="1:34" x14ac:dyDescent="0.15">
      <c r="A17" s="10" t="s">
        <v>18</v>
      </c>
      <c r="D17" s="12" t="str">
        <f>IF(SUM(D15,D16)=0,"",SUM(D15,D16))</f>
        <v/>
      </c>
      <c r="E17" s="12" t="str">
        <f>IF(SUM(E15,E16)=0,"",SUM(E15,E16))</f>
        <v/>
      </c>
      <c r="F17" s="15" t="str">
        <f>IF(SUM(D17,E17)=0,"",SUM(D17,E17))</f>
        <v/>
      </c>
      <c r="H17" s="12" t="str">
        <f>IF(SUM(H15,H16)=0,"",SUM(H15,H16))</f>
        <v/>
      </c>
      <c r="I17" s="12" t="str">
        <f>IF(SUM(I15,I16)=0,"",SUM(I15,I16))</f>
        <v/>
      </c>
      <c r="J17" s="15" t="str">
        <f>IF(SUM(H17,I17)=0,"",SUM(H17,I17))</f>
        <v/>
      </c>
      <c r="L17" s="12" t="str">
        <f>IF(SUM(L15,L16)=0,"",SUM(L15,L16))</f>
        <v/>
      </c>
      <c r="M17" s="12" t="str">
        <f>IF(SUM(M15,M16)=0,"",SUM(M15,M16))</f>
        <v/>
      </c>
      <c r="N17" s="15" t="str">
        <f>IF(SUM(L17,M17)=0,"",SUM(L17,M17))</f>
        <v/>
      </c>
      <c r="P17" s="12" t="str">
        <f>IF(SUM(P15,P16)=0,"",SUM(P15,P16))</f>
        <v/>
      </c>
      <c r="Q17" s="12" t="str">
        <f>IF(SUM(Q15,Q16)=0,"",SUM(Q15,Q16))</f>
        <v/>
      </c>
      <c r="R17" s="16" t="str">
        <f>IF(SUM(P17,Q17)=0,"",SUM(P17,Q17))</f>
        <v/>
      </c>
      <c r="T17" s="30">
        <v>11</v>
      </c>
      <c r="U17" s="118" t="str">
        <f>IF(SUM(X17)&gt;0,IF(SUM(M15)*SUM(L16)&gt;0,L15*M16/L16/M15,"infinity"),"")</f>
        <v/>
      </c>
      <c r="V17" s="43" t="str">
        <f>IF(L15&gt;0,L15,"")</f>
        <v/>
      </c>
      <c r="W17" s="14" t="str">
        <f>IF(SUM(N17)&gt;0,N15*L17/N17,"")</f>
        <v/>
      </c>
      <c r="X17" s="44" t="str">
        <f>IF(SUM(N17)&gt;1,SUM(N15)*SUM(N16)*SUM(L17)*SUM(M17)/N17/N17/(N17-1),"")</f>
        <v/>
      </c>
      <c r="Y17" s="43" t="str">
        <f>IF(SUM(N17)&gt;0,L15*M16/N17,"")</f>
        <v/>
      </c>
      <c r="Z17" s="14" t="str">
        <f>IF(SUM(N17)&gt;0,M15*L16/N17,"")</f>
        <v/>
      </c>
      <c r="AA17" s="14" t="str">
        <f>IF(SUM(X17)&gt;0,(L15+M16)/N17,"")</f>
        <v/>
      </c>
      <c r="AB17" s="14" t="str">
        <f>IF(SUM(X17)&gt;0,(M15+L16)/N17,"")</f>
        <v/>
      </c>
      <c r="AC17" s="14" t="str">
        <f t="shared" si="0"/>
        <v/>
      </c>
      <c r="AD17" s="14" t="str">
        <f t="shared" si="1"/>
        <v/>
      </c>
      <c r="AE17" s="14" t="str">
        <f t="shared" si="2"/>
        <v/>
      </c>
      <c r="AF17" s="14" t="str">
        <f>IF(SUM(L15)*SUM(L16)*SUM(M15)*SUM(M16)&gt;0,LN(L15*M16/L16/M15),"")</f>
        <v/>
      </c>
      <c r="AG17" s="14" t="str">
        <f>IF(SUM(L15)*SUM(L16)*SUM(M15)*SUM(M16)&gt;0,1/L15 + 1/M16 +1/L16 +1/M15,"")</f>
        <v/>
      </c>
      <c r="AH17" s="44" t="str">
        <f xml:space="preserve"> IF(SUM(L15)*SUM(L16)*SUM(M15)*SUM(M16),((AF17 - LN($J$22)))^2/AG17,"")</f>
        <v/>
      </c>
    </row>
    <row r="18" spans="1:34" ht="14" thickBot="1" x14ac:dyDescent="0.2">
      <c r="A18" s="19"/>
      <c r="B18" s="20"/>
      <c r="C18" s="20"/>
      <c r="D18" s="20" t="str">
        <f>IF(U15&lt;&gt;"","OR=","")</f>
        <v/>
      </c>
      <c r="E18" s="234" t="str">
        <f>U15</f>
        <v/>
      </c>
      <c r="F18" s="234"/>
      <c r="G18" s="22"/>
      <c r="H18" s="21" t="str">
        <f>IF(U16&lt;&gt;"","OR=","")</f>
        <v/>
      </c>
      <c r="I18" s="234" t="str">
        <f>U16</f>
        <v/>
      </c>
      <c r="J18" s="234"/>
      <c r="K18" s="22"/>
      <c r="L18" s="21" t="str">
        <f>IF(U17&lt;&gt;"","OR=","")</f>
        <v/>
      </c>
      <c r="M18" s="230" t="str">
        <f>U17</f>
        <v/>
      </c>
      <c r="N18" s="230"/>
      <c r="O18" s="22"/>
      <c r="P18" s="21" t="str">
        <f>IF(U18&lt;&gt;"","OR=","")</f>
        <v/>
      </c>
      <c r="Q18" s="230" t="str">
        <f>U18</f>
        <v/>
      </c>
      <c r="R18" s="233"/>
      <c r="T18" s="30">
        <v>12</v>
      </c>
      <c r="U18" s="119" t="str">
        <f>IF(SUM(X18)&gt;0,IF(SUM(Q15)*SUM(P16)&gt;0,P15*Q16/Q15/P16,"infinity"),"")</f>
        <v/>
      </c>
      <c r="V18" s="45" t="str">
        <f>IF(P15&gt;0,P15,"")</f>
        <v/>
      </c>
      <c r="W18" s="49" t="str">
        <f>IF(SUM(R17)&gt;0,R15*P17/R17,"")</f>
        <v/>
      </c>
      <c r="X18" s="46" t="str">
        <f>IF(SUM(R17)&gt;1,SUM(R15)*SUM(R16)*SUM(P17)*SUM(Q17)/R17/R17/(R17-1),"")</f>
        <v/>
      </c>
      <c r="Y18" s="45" t="str">
        <f>IF(SUM(R17)&gt;0,P15*Q16/R17,"")</f>
        <v/>
      </c>
      <c r="Z18" s="49" t="str">
        <f>IF(SUM(R17)&gt;0,P16*Q15/R17,"")</f>
        <v/>
      </c>
      <c r="AA18" s="49" t="str">
        <f>IF(SUM(X18)&gt;0,(P15+Q16)/R17,"")</f>
        <v/>
      </c>
      <c r="AB18" s="49" t="str">
        <f>IF(SUM(X18)&gt;0,(Q15+P16)/R17,"")</f>
        <v/>
      </c>
      <c r="AC18" s="49" t="str">
        <f>IF(SUM($X18)&gt;0,Y18*AA18,"")</f>
        <v/>
      </c>
      <c r="AD18" s="49" t="str">
        <f>IF(SUM($X18)&gt;0,Y18*AB18 + Z18*AA18,"")</f>
        <v/>
      </c>
      <c r="AE18" s="49" t="str">
        <f>IF(SUM($X18)&gt;0,Z18*AB18,"")</f>
        <v/>
      </c>
      <c r="AF18" s="49" t="str">
        <f>IF(SUM(P15)*SUM(Q16)*SUM(P16)*SUM(Q15)&gt;0,LN(P15*Q16/P16/Q15),"")</f>
        <v/>
      </c>
      <c r="AG18" s="49" t="str">
        <f>IF(SUM(P15)*SUM(Q16)*SUM(P16)*SUM(Q15)&gt;0,1/P15 + 1/Q16 +1/P16 +1/Q15,"")</f>
        <v/>
      </c>
      <c r="AH18" s="46" t="str">
        <f xml:space="preserve"> IF(SUM(P15)*SUM(Q16)*SUM(P16)*SUM(Q15)&gt;0, ((AF18 - LN($J$22)))^2/AG18, "")</f>
        <v/>
      </c>
    </row>
    <row r="19" spans="1:34" ht="4.5" customHeight="1" thickTop="1" thickBot="1" x14ac:dyDescent="0.2">
      <c r="D19" s="23"/>
      <c r="E19" s="24"/>
      <c r="F19" s="24"/>
      <c r="H19" s="23"/>
      <c r="I19" s="24"/>
      <c r="J19" s="24"/>
      <c r="L19" s="23"/>
      <c r="M19" s="24"/>
      <c r="N19" s="24"/>
      <c r="P19" s="23"/>
      <c r="Q19" s="24"/>
      <c r="R19" s="2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 spans="1:34" ht="14" thickTop="1" x14ac:dyDescent="0.15">
      <c r="A20" s="208" t="s">
        <v>38</v>
      </c>
      <c r="B20" s="209"/>
      <c r="C20" s="209"/>
      <c r="D20" s="209"/>
      <c r="E20" s="209"/>
      <c r="F20" s="210"/>
      <c r="H20" s="128" t="s">
        <v>90</v>
      </c>
      <c r="I20" s="129"/>
      <c r="J20" s="129"/>
      <c r="K20" s="130"/>
      <c r="L20" s="131"/>
      <c r="M20" s="129"/>
      <c r="N20" s="129"/>
      <c r="O20" s="132"/>
      <c r="P20" s="23"/>
      <c r="Q20" s="24"/>
      <c r="R20" s="24"/>
      <c r="T20" s="14" t="s">
        <v>40</v>
      </c>
      <c r="U20" s="14"/>
      <c r="V20" s="14" t="str">
        <f>IF(SUM(V7:V18)&gt;0,SUM(V7:V18),"")</f>
        <v/>
      </c>
      <c r="W20" s="14" t="str">
        <f>IF(SUM(W7:W18)&gt;0,SUM(W7:W18),"")</f>
        <v/>
      </c>
      <c r="X20" s="14" t="str">
        <f>IF(SUM(X7:X18)&gt;0,SUM(X7:X18),"")</f>
        <v/>
      </c>
      <c r="Y20" s="14" t="str">
        <f>IF(SUM(X7:X18)&gt;0,SUM(Y7:Y18),"")</f>
        <v/>
      </c>
      <c r="Z20" s="14" t="str">
        <f t="shared" ref="Z20:AE20" si="3">IF(SUM(Z7:Z18)&gt;0,SUM(Z7:Z18),"")</f>
        <v/>
      </c>
      <c r="AA20" s="14" t="str">
        <f t="shared" si="3"/>
        <v/>
      </c>
      <c r="AB20" s="14" t="str">
        <f t="shared" si="3"/>
        <v/>
      </c>
      <c r="AC20" s="14" t="str">
        <f t="shared" si="3"/>
        <v/>
      </c>
      <c r="AD20" s="14" t="str">
        <f t="shared" si="3"/>
        <v/>
      </c>
      <c r="AE20" s="14" t="str">
        <f t="shared" si="3"/>
        <v/>
      </c>
      <c r="AH20" s="14" t="str">
        <f>IF(SUM(AH7:AH18)&gt;0,SUM(AH7:AH18),"")</f>
        <v/>
      </c>
    </row>
    <row r="21" spans="1:34" x14ac:dyDescent="0.15">
      <c r="A21" s="25" t="s">
        <v>36</v>
      </c>
      <c r="D21" s="26" t="str">
        <f>IF(SUM(D7,H7,L7,P7,D11,H11,L11,P11,D15,H15,L15,P15)&gt;0,SUM(D7,H7,L7,P7,D11,H11,L11,P11,D15,H15,L15,P15),"")</f>
        <v/>
      </c>
      <c r="E21" s="26" t="str">
        <f>IF(SUM(E7,I7,M7,Q7,E11,I11,M11,Q11,E15,I15,M15,Q15)&gt;0,SUM(E7,I7,M7,Q7,E11,I11,M11,Q11,E15,I15,M15,Q15),"")</f>
        <v/>
      </c>
      <c r="F21" s="27" t="str">
        <f>IF(SUM(D21,E21)=0,"",SUM(D21,E21))</f>
        <v/>
      </c>
      <c r="H21" s="133"/>
      <c r="M21" s="24"/>
      <c r="N21" s="24"/>
      <c r="O21" s="57"/>
      <c r="P21" s="23"/>
      <c r="Q21" s="24"/>
      <c r="R21" s="24"/>
      <c r="U21" s="14"/>
      <c r="AB21" s="14"/>
      <c r="AC21" s="14"/>
      <c r="AG21" s="14" t="s">
        <v>42</v>
      </c>
      <c r="AH21" s="14">
        <f xml:space="preserve"> 11 - COUNTIF(AH7:AH18,"")</f>
        <v>-1</v>
      </c>
    </row>
    <row r="22" spans="1:34" x14ac:dyDescent="0.15">
      <c r="A22" s="25" t="s">
        <v>89</v>
      </c>
      <c r="D22" s="26" t="str">
        <f>IF(SUM(D8,H8,L8,P8,D12,H12,L12,P12,D16,H16,L16,P16)&gt;0,SUM(D8,H8,L8,P8,D12,H12,L12,P12,D16,H16,L16,P16),"")</f>
        <v/>
      </c>
      <c r="E22" s="26" t="str">
        <f>IF(SUM(E8,I8,M8,Q8,E12,I12,M12,Q12,E16,I16,M16,Q16)&gt;0,SUM(E8,I8,M8,Q8,E12,I12,M12,Q12,E16,I16,M16,Q16),"")</f>
        <v/>
      </c>
      <c r="F22" s="27" t="str">
        <f>IF(SUM(D22,E22)=0,"",SUM(D22,E22))</f>
        <v/>
      </c>
      <c r="G22" s="134"/>
      <c r="H22" s="193" t="s">
        <v>91</v>
      </c>
      <c r="I22" s="193"/>
      <c r="J22" s="194" t="str">
        <f>IF(SUM(X20)&gt;0,IF(SUM(Z20)&gt;0,Y20/Z20,"infinity"),"")</f>
        <v/>
      </c>
      <c r="K22" s="194"/>
      <c r="L22" s="194"/>
      <c r="O22" s="127"/>
      <c r="T22" s="14" t="s">
        <v>44</v>
      </c>
      <c r="U22" s="14"/>
      <c r="V22" s="14"/>
      <c r="W22" s="14"/>
      <c r="X22" s="219" t="str">
        <f>IF(SUM(X20)&gt;0,(SUM(V20)-SUM(W20))/SQRT(X20),"")</f>
        <v/>
      </c>
      <c r="Y22" s="219"/>
      <c r="Z22" s="219"/>
      <c r="AB22" s="14"/>
      <c r="AC22" s="14"/>
    </row>
    <row r="23" spans="1:34" ht="13.5" customHeight="1" x14ac:dyDescent="0.15">
      <c r="A23" s="25" t="s">
        <v>18</v>
      </c>
      <c r="D23" s="41" t="str">
        <f>IF(SUM(D21,D22)=0,"",SUM(D21,D22))</f>
        <v/>
      </c>
      <c r="E23" s="41" t="str">
        <f>IF(SUM(E21,E22)=0,"",SUM(E21,E22))</f>
        <v/>
      </c>
      <c r="F23" s="29" t="str">
        <f>IF(SUM(D23,E23)=0,"",SUM(D23,E23))</f>
        <v/>
      </c>
      <c r="H23" s="222" t="s">
        <v>92</v>
      </c>
      <c r="I23" s="191"/>
      <c r="J23" s="191"/>
      <c r="K23" s="205" t="str">
        <f>IF(SUM($Z$20)&gt;0,IF($J$22=0,"",EXP(LN($J$22)-1.645*SQRT($X$23))),"")</f>
        <v/>
      </c>
      <c r="L23" s="205"/>
      <c r="M23" s="205" t="str">
        <f>IF(SUM($Z$20)&gt;0,IF($J$22=0,"",EXP(LN($J$22)+1.645*SQRT($X$23))),"")</f>
        <v/>
      </c>
      <c r="N23" s="205"/>
      <c r="O23" s="121"/>
      <c r="T23" s="34" t="s">
        <v>72</v>
      </c>
      <c r="V23" s="14"/>
      <c r="X23" s="219" t="str">
        <f>IF(SUM(Z20)*SUM(Y20)&gt;0,SUM(AC20)/(2*SUM(Y20)*SUM(Y20)) + SUM(AD20)/(2*SUM(Y20)*SUM(Z20)) + SUM(AE20)/(2*SUM(Z20)*SUM(Z20)),"")</f>
        <v/>
      </c>
      <c r="Y23" s="219"/>
      <c r="Z23" s="219"/>
    </row>
    <row r="24" spans="1:34" x14ac:dyDescent="0.15">
      <c r="A24" s="25"/>
      <c r="F24" s="28"/>
      <c r="H24" s="224" t="s">
        <v>93</v>
      </c>
      <c r="I24" s="206"/>
      <c r="J24" s="206"/>
      <c r="K24" s="194" t="str">
        <f>IF(SUM($Z$20)&gt;0,IF($J$22=0,"",EXP(LN($J$22)-1.96*SQRT($X$23))),"")</f>
        <v/>
      </c>
      <c r="L24" s="194"/>
      <c r="M24" s="194" t="str">
        <f>IF(SUM($Z$20)&gt;0,IF($J$22=0,"",EXP(LN($J$22)+1.96*SQRT($X$23))),"")</f>
        <v/>
      </c>
      <c r="N24" s="194"/>
      <c r="O24" s="122"/>
    </row>
    <row r="25" spans="1:34" x14ac:dyDescent="0.15">
      <c r="A25" s="225" t="s">
        <v>94</v>
      </c>
      <c r="B25" s="193"/>
      <c r="C25" s="24"/>
      <c r="D25" s="194" t="str">
        <f>IF(SUM(X20)&gt;0,IF(SUM(E21)*SUM(D22)&gt;0,SUM(D21)*SUM(E22)/E21/D22,"infinity"),"")</f>
        <v/>
      </c>
      <c r="E25" s="194"/>
      <c r="F25" s="66"/>
      <c r="H25" s="222" t="s">
        <v>95</v>
      </c>
      <c r="I25" s="191"/>
      <c r="J25" s="191"/>
      <c r="K25" s="205" t="str">
        <f>IF(SUM($Z$20)&gt;0,IF($J$22=0,"",EXP(LN($J$22)-2.575*SQRT($X$23))),"")</f>
        <v/>
      </c>
      <c r="L25" s="205"/>
      <c r="M25" s="205" t="str">
        <f>IF(SUM($Z$20)&gt;0,IF($J$22=0,"",EXP(LN($J$22)+2.575*SQRT($X$23))),"")</f>
        <v/>
      </c>
      <c r="N25" s="205"/>
      <c r="O25" s="121"/>
    </row>
    <row r="26" spans="1:34" x14ac:dyDescent="0.15">
      <c r="A26" s="222" t="s">
        <v>45</v>
      </c>
      <c r="B26" s="191"/>
      <c r="C26" s="24"/>
      <c r="D26" s="72" t="str">
        <f>IF($D$25&lt;&gt;"",EXP(LN($D$25)-1.645*SQRT(1/$D$21+1/$E$21+1/$D$22+1/$E$22)),"")</f>
        <v/>
      </c>
      <c r="E26" s="72" t="str">
        <f>IF($D$25&lt;&gt;"",EXP(LN($D$25)+1.645*SQRT(1/$D$21+1/$E$21+1/$D$22+1/$E$22)),"")</f>
        <v/>
      </c>
      <c r="F26" s="66"/>
      <c r="H26" s="35"/>
      <c r="O26" s="57"/>
    </row>
    <row r="27" spans="1:34" ht="14" thickBot="1" x14ac:dyDescent="0.2">
      <c r="A27" s="226" t="s">
        <v>47</v>
      </c>
      <c r="B27" s="206"/>
      <c r="C27" s="24"/>
      <c r="D27" s="65" t="str">
        <f>IF($D$25&lt;&gt;"",EXP(LN($D$25)-1.96*SQRT(1/$D$21+1/$E$21+1/$D$22+1/$E$22)),"")</f>
        <v/>
      </c>
      <c r="E27" s="65" t="str">
        <f>IF($D$25&lt;&gt;"",EXP(LN($D$25)+1.96*SQRT(1/$D$21+1/$E$21+1/$D$22+1/$E$22)),"")</f>
        <v/>
      </c>
      <c r="F27" s="66"/>
      <c r="H27" s="216" t="s">
        <v>96</v>
      </c>
      <c r="I27" s="217"/>
      <c r="J27" s="217"/>
      <c r="K27" s="101"/>
      <c r="L27" s="101"/>
      <c r="M27" s="199" t="str">
        <f xml:space="preserve"> IF(SUM(AH21)&gt;0,CHIDIST(AH20,AH21),"")</f>
        <v/>
      </c>
      <c r="N27" s="199"/>
      <c r="O27" s="120"/>
      <c r="P27" s="123"/>
      <c r="Q27" s="2"/>
      <c r="R27" s="2"/>
    </row>
    <row r="28" spans="1:34" ht="15" thickTop="1" thickBot="1" x14ac:dyDescent="0.2">
      <c r="A28" s="190" t="s">
        <v>48</v>
      </c>
      <c r="B28" s="191"/>
      <c r="C28" s="24"/>
      <c r="D28" s="72" t="str">
        <f>IF($D$25&lt;&gt;"",EXP(LN($D$25)-2.575*SQRT(1/$D$21+1/$E$21+1/$D$22+1/$E$22)),"")</f>
        <v/>
      </c>
      <c r="E28" s="72" t="str">
        <f>IF($D$25&lt;&gt;"",EXP(LN($D$25)+2.575*SQRT(1/$D$21+1/$E$21+1/$D$22+1/$E$22)),"")</f>
        <v/>
      </c>
      <c r="F28" s="66"/>
    </row>
    <row r="29" spans="1:34" ht="14" thickTop="1" x14ac:dyDescent="0.15">
      <c r="A29" s="25"/>
      <c r="B29" s="24"/>
      <c r="C29" s="24"/>
      <c r="D29" s="24"/>
      <c r="E29" s="65"/>
      <c r="F29" s="66"/>
      <c r="H29" s="88" t="s">
        <v>57</v>
      </c>
      <c r="I29" s="78"/>
      <c r="J29" s="78"/>
      <c r="K29" s="78"/>
      <c r="L29" s="78"/>
      <c r="M29" s="78"/>
      <c r="N29" s="78"/>
      <c r="O29" s="83"/>
    </row>
    <row r="30" spans="1:34" x14ac:dyDescent="0.15">
      <c r="A30" s="116" t="s">
        <v>54</v>
      </c>
      <c r="B30" s="32"/>
      <c r="C30" s="24"/>
      <c r="D30" s="24"/>
      <c r="E30" s="65"/>
      <c r="F30" s="66"/>
      <c r="H30" s="89"/>
      <c r="O30" s="79"/>
    </row>
    <row r="31" spans="1:34" x14ac:dyDescent="0.15">
      <c r="A31" s="231" t="s">
        <v>55</v>
      </c>
      <c r="B31" s="191"/>
      <c r="C31" s="24"/>
      <c r="D31" s="96" t="str">
        <f>IF(D25&lt;&gt;"",(D21-F21*D23/F23)^2 / (F21*F22*D23*E23/(F23^2*(F23-1))),"")</f>
        <v/>
      </c>
      <c r="E31" s="65"/>
      <c r="F31" s="66"/>
      <c r="H31" s="190" t="s">
        <v>55</v>
      </c>
      <c r="I31" s="191"/>
      <c r="J31" s="191"/>
      <c r="K31" s="218" t="str">
        <f>IF(SUM(X20)&gt;0,(V20-W20)^2/X20,"")</f>
        <v/>
      </c>
      <c r="L31" s="218"/>
      <c r="O31" s="79"/>
    </row>
    <row r="32" spans="1:34" x14ac:dyDescent="0.15">
      <c r="A32" s="231" t="s">
        <v>56</v>
      </c>
      <c r="B32" s="191"/>
      <c r="C32" s="24"/>
      <c r="D32" s="24" t="str">
        <f>IF(D25&lt;&gt;"",1,"")</f>
        <v/>
      </c>
      <c r="E32" s="65"/>
      <c r="F32" s="66"/>
      <c r="H32" s="190" t="s">
        <v>56</v>
      </c>
      <c r="I32" s="191"/>
      <c r="J32" s="191"/>
      <c r="K32" s="191" t="str">
        <f>IF(K31&lt;&gt;"","1","")</f>
        <v/>
      </c>
      <c r="L32" s="191"/>
      <c r="O32" s="79"/>
    </row>
    <row r="33" spans="1:15" ht="14" thickBot="1" x14ac:dyDescent="0.2">
      <c r="A33" s="232" t="s">
        <v>58</v>
      </c>
      <c r="B33" s="206"/>
      <c r="C33" s="24"/>
      <c r="D33" s="115" t="str">
        <f>IF(D25&lt;&gt;"",IF(CHIDIST(D31,D32)&lt;0.0001,"&lt;0.0001",CHIDIST(D31,D32)),"")</f>
        <v/>
      </c>
      <c r="E33" s="65"/>
      <c r="F33" s="66"/>
      <c r="H33" s="188" t="s">
        <v>58</v>
      </c>
      <c r="I33" s="189"/>
      <c r="J33" s="189"/>
      <c r="K33" s="198" t="str">
        <f>IF(K31&lt;&gt;"",IF(CHIDIST(K31,K32)&lt;0.0001,"&lt;0.0001",CHIDIST(K31,K32)),"")</f>
        <v/>
      </c>
      <c r="L33" s="198"/>
      <c r="M33" s="69"/>
      <c r="N33" s="69"/>
      <c r="O33" s="71"/>
    </row>
    <row r="34" spans="1:15" ht="15" thickTop="1" thickBot="1" x14ac:dyDescent="0.2">
      <c r="A34" s="25"/>
      <c r="B34" s="24"/>
      <c r="C34" s="24"/>
      <c r="D34" s="24"/>
      <c r="E34" s="65"/>
      <c r="F34" s="66"/>
    </row>
    <row r="35" spans="1:15" ht="15" thickTop="1" thickBot="1" x14ac:dyDescent="0.2">
      <c r="A35" s="36"/>
      <c r="B35" s="37"/>
      <c r="C35" s="37"/>
      <c r="D35" s="37"/>
      <c r="E35" s="37"/>
      <c r="F35" s="38"/>
      <c r="H35" s="88" t="s">
        <v>59</v>
      </c>
      <c r="I35" s="78"/>
      <c r="J35" s="78"/>
      <c r="K35" s="78"/>
      <c r="L35" s="78"/>
      <c r="M35" s="78"/>
      <c r="N35" s="78"/>
      <c r="O35" s="83"/>
    </row>
    <row r="36" spans="1:15" ht="14" thickTop="1" x14ac:dyDescent="0.15">
      <c r="H36" s="94"/>
      <c r="O36" s="79"/>
    </row>
    <row r="37" spans="1:15" x14ac:dyDescent="0.15">
      <c r="H37" s="94"/>
      <c r="I37" s="206" t="s">
        <v>97</v>
      </c>
      <c r="J37" s="206"/>
      <c r="K37" s="23"/>
      <c r="M37" s="206"/>
      <c r="N37" s="206"/>
      <c r="O37" s="178"/>
    </row>
    <row r="38" spans="1:15" x14ac:dyDescent="0.15">
      <c r="H38" s="179"/>
      <c r="I38" s="24" t="s">
        <v>62</v>
      </c>
      <c r="J38" s="180" t="str">
        <f xml:space="preserve"> IF(SUM(AH20)&gt;0,AH20,"")</f>
        <v/>
      </c>
      <c r="K38" s="23"/>
      <c r="L38" s="23"/>
      <c r="M38" s="24"/>
      <c r="N38" s="180"/>
      <c r="O38" s="178"/>
    </row>
    <row r="39" spans="1:15" x14ac:dyDescent="0.15">
      <c r="H39" s="179"/>
      <c r="I39" s="24" t="s">
        <v>56</v>
      </c>
      <c r="J39" s="23" t="str">
        <f xml:space="preserve"> IF(SUM(AH21)&gt;0,AH21,"")</f>
        <v/>
      </c>
      <c r="K39" s="23"/>
      <c r="L39" s="23"/>
      <c r="M39" s="24"/>
      <c r="N39" s="23"/>
      <c r="O39" s="178"/>
    </row>
    <row r="40" spans="1:15" ht="14" thickBot="1" x14ac:dyDescent="0.2">
      <c r="H40" s="181"/>
      <c r="I40" s="90" t="s">
        <v>58</v>
      </c>
      <c r="J40" s="95" t="str">
        <f xml:space="preserve"> IF(SUM(AH21)&gt;0,CHIDIST(AH20,AH21),"")</f>
        <v/>
      </c>
      <c r="K40" s="182"/>
      <c r="L40" s="182"/>
      <c r="M40" s="90"/>
      <c r="N40" s="95"/>
      <c r="O40" s="183"/>
    </row>
    <row r="41" spans="1:15" ht="14" thickTop="1" x14ac:dyDescent="0.15"/>
    <row r="57" spans="1:8" x14ac:dyDescent="0.15">
      <c r="G57" s="14"/>
    </row>
    <row r="58" spans="1:8" x14ac:dyDescent="0.15">
      <c r="G58" s="14"/>
      <c r="H58" s="14"/>
    </row>
    <row r="59" spans="1:8" x14ac:dyDescent="0.15">
      <c r="G59" s="14"/>
      <c r="H59" s="14"/>
    </row>
    <row r="60" spans="1:8" x14ac:dyDescent="0.15">
      <c r="H60" s="14"/>
    </row>
    <row r="64" spans="1:8" x14ac:dyDescent="0.15">
      <c r="A64" s="14"/>
    </row>
    <row r="65" spans="1:4" x14ac:dyDescent="0.15">
      <c r="A65" s="14"/>
      <c r="B65" s="30"/>
      <c r="C65" s="30"/>
    </row>
    <row r="66" spans="1:4" x14ac:dyDescent="0.15">
      <c r="A66" s="14"/>
      <c r="B66" s="14"/>
      <c r="C66" s="14"/>
    </row>
    <row r="67" spans="1:4" x14ac:dyDescent="0.15">
      <c r="A67" s="14"/>
      <c r="B67" s="14"/>
      <c r="C67" s="14"/>
      <c r="D67" s="14"/>
    </row>
    <row r="68" spans="1:4" x14ac:dyDescent="0.15">
      <c r="A68" s="14"/>
      <c r="B68" s="14"/>
      <c r="C68" s="14"/>
      <c r="D68" s="14"/>
    </row>
    <row r="69" spans="1:4" x14ac:dyDescent="0.15">
      <c r="A69" s="14"/>
      <c r="B69" s="14"/>
      <c r="C69" s="14"/>
      <c r="D69" s="14"/>
    </row>
    <row r="70" spans="1:4" x14ac:dyDescent="0.15">
      <c r="A70" s="14"/>
      <c r="B70" s="14"/>
      <c r="C70" s="14"/>
      <c r="D70" s="14"/>
    </row>
    <row r="71" spans="1:4" x14ac:dyDescent="0.15">
      <c r="A71" s="14"/>
      <c r="B71" s="14"/>
      <c r="C71" s="14"/>
      <c r="D71" s="14"/>
    </row>
    <row r="72" spans="1:4" x14ac:dyDescent="0.15">
      <c r="A72" s="14"/>
      <c r="B72" s="14"/>
      <c r="C72" s="14"/>
      <c r="D72" s="14"/>
    </row>
    <row r="73" spans="1:4" x14ac:dyDescent="0.15">
      <c r="A73" s="14"/>
      <c r="B73" s="14"/>
      <c r="C73" s="14"/>
      <c r="D73" s="14"/>
    </row>
    <row r="74" spans="1:4" x14ac:dyDescent="0.15">
      <c r="A74" s="14"/>
      <c r="B74" s="14"/>
      <c r="C74" s="14"/>
      <c r="D74" s="14"/>
    </row>
    <row r="75" spans="1:4" x14ac:dyDescent="0.15">
      <c r="A75" s="14"/>
      <c r="B75" s="14"/>
      <c r="C75" s="14"/>
      <c r="D75" s="14"/>
    </row>
    <row r="76" spans="1:4" x14ac:dyDescent="0.15">
      <c r="A76" s="14"/>
      <c r="B76" s="14"/>
      <c r="C76" s="14"/>
      <c r="D76" s="14"/>
    </row>
    <row r="77" spans="1:4" x14ac:dyDescent="0.15">
      <c r="A77" s="14"/>
      <c r="B77" s="14"/>
      <c r="C77" s="14"/>
      <c r="D77" s="14"/>
    </row>
    <row r="78" spans="1:4" x14ac:dyDescent="0.15">
      <c r="A78" s="14"/>
      <c r="B78" s="14"/>
      <c r="C78" s="14"/>
      <c r="D78" s="14"/>
    </row>
    <row r="79" spans="1:4" x14ac:dyDescent="0.15">
      <c r="A79" s="14"/>
      <c r="B79" s="14"/>
      <c r="C79" s="14"/>
      <c r="D79" s="14"/>
    </row>
    <row r="80" spans="1:4" x14ac:dyDescent="0.15">
      <c r="A80" s="14"/>
      <c r="B80" s="14"/>
      <c r="C80" s="14"/>
      <c r="D80" s="14"/>
    </row>
    <row r="81" spans="1:4" x14ac:dyDescent="0.15">
      <c r="A81" s="14"/>
      <c r="B81" s="14"/>
      <c r="C81" s="14"/>
      <c r="D81" s="14"/>
    </row>
    <row r="82" spans="1:4" x14ac:dyDescent="0.15">
      <c r="A82" s="14"/>
      <c r="B82" s="14"/>
      <c r="C82" s="14"/>
      <c r="D82" s="14"/>
    </row>
    <row r="83" spans="1:4" x14ac:dyDescent="0.15">
      <c r="A83" s="14"/>
      <c r="B83" s="14"/>
      <c r="C83" s="14"/>
      <c r="D83" s="14"/>
    </row>
    <row r="84" spans="1:4" x14ac:dyDescent="0.15">
      <c r="A84" s="14"/>
      <c r="B84" s="14"/>
      <c r="C84" s="14"/>
      <c r="D84" s="14"/>
    </row>
    <row r="85" spans="1:4" x14ac:dyDescent="0.15">
      <c r="A85" s="14"/>
      <c r="B85" s="14"/>
      <c r="C85" s="14"/>
      <c r="D85" s="14"/>
    </row>
    <row r="86" spans="1:4" x14ac:dyDescent="0.15">
      <c r="A86" s="14"/>
      <c r="B86" s="14"/>
      <c r="C86" s="14"/>
      <c r="D86" s="14"/>
    </row>
    <row r="87" spans="1:4" x14ac:dyDescent="0.15">
      <c r="A87" s="14"/>
      <c r="B87" s="14"/>
      <c r="C87" s="14"/>
      <c r="D87" s="14"/>
    </row>
    <row r="88" spans="1:4" x14ac:dyDescent="0.15">
      <c r="A88" s="14"/>
      <c r="B88" s="14"/>
      <c r="C88" s="14"/>
      <c r="D88" s="14"/>
    </row>
    <row r="89" spans="1:4" x14ac:dyDescent="0.15">
      <c r="A89" s="14"/>
      <c r="B89" s="14"/>
      <c r="C89" s="14"/>
      <c r="D89" s="14"/>
    </row>
    <row r="90" spans="1:4" x14ac:dyDescent="0.15">
      <c r="A90" s="14"/>
      <c r="B90" s="14"/>
      <c r="C90" s="14"/>
      <c r="D90" s="14"/>
    </row>
    <row r="91" spans="1:4" x14ac:dyDescent="0.15">
      <c r="A91" s="14"/>
      <c r="B91" s="14"/>
      <c r="C91" s="14"/>
      <c r="D91" s="14"/>
    </row>
    <row r="92" spans="1:4" x14ac:dyDescent="0.15">
      <c r="A92" s="14"/>
      <c r="B92" s="14"/>
      <c r="C92" s="14"/>
      <c r="D92" s="14"/>
    </row>
    <row r="93" spans="1:4" x14ac:dyDescent="0.15">
      <c r="A93" s="14"/>
      <c r="B93" s="14"/>
      <c r="C93" s="14"/>
      <c r="D93" s="14"/>
    </row>
    <row r="94" spans="1:4" x14ac:dyDescent="0.15">
      <c r="A94" s="14"/>
      <c r="B94" s="14"/>
      <c r="C94" s="14"/>
      <c r="D94" s="14"/>
    </row>
    <row r="95" spans="1:4" x14ac:dyDescent="0.15">
      <c r="A95" s="14"/>
      <c r="B95" s="14"/>
      <c r="C95" s="14"/>
      <c r="D95" s="14"/>
    </row>
    <row r="96" spans="1:4" x14ac:dyDescent="0.15">
      <c r="A96" s="14"/>
      <c r="B96" s="14"/>
      <c r="C96" s="14"/>
      <c r="D96" s="14"/>
    </row>
    <row r="97" spans="1:4" x14ac:dyDescent="0.15">
      <c r="A97" s="14"/>
      <c r="B97" s="14"/>
      <c r="C97" s="14"/>
      <c r="D97" s="14"/>
    </row>
    <row r="98" spans="1:4" x14ac:dyDescent="0.15">
      <c r="A98" s="14"/>
      <c r="B98" s="14"/>
      <c r="C98" s="14"/>
      <c r="D98" s="14"/>
    </row>
    <row r="99" spans="1:4" x14ac:dyDescent="0.15">
      <c r="A99" s="14"/>
      <c r="B99" s="14"/>
      <c r="C99" s="14"/>
      <c r="D99" s="14"/>
    </row>
    <row r="100" spans="1:4" x14ac:dyDescent="0.15">
      <c r="A100" s="14"/>
      <c r="B100" s="14"/>
      <c r="C100" s="14"/>
      <c r="D100" s="14"/>
    </row>
    <row r="101" spans="1:4" x14ac:dyDescent="0.15">
      <c r="A101" s="14"/>
      <c r="B101" s="14"/>
      <c r="C101" s="14"/>
      <c r="D101" s="14"/>
    </row>
    <row r="102" spans="1:4" x14ac:dyDescent="0.15">
      <c r="A102" s="14"/>
      <c r="B102" s="14"/>
      <c r="C102" s="14"/>
      <c r="D102" s="14"/>
    </row>
    <row r="103" spans="1:4" x14ac:dyDescent="0.15">
      <c r="A103" s="14"/>
      <c r="B103" s="14"/>
      <c r="C103" s="14"/>
      <c r="D103" s="14"/>
    </row>
    <row r="104" spans="1:4" x14ac:dyDescent="0.15">
      <c r="A104" s="14"/>
      <c r="B104" s="14"/>
      <c r="C104" s="14"/>
      <c r="D104" s="14"/>
    </row>
    <row r="105" spans="1:4" x14ac:dyDescent="0.15">
      <c r="A105" s="14"/>
      <c r="B105" s="14"/>
      <c r="C105" s="14"/>
      <c r="D105" s="14"/>
    </row>
    <row r="106" spans="1:4" x14ac:dyDescent="0.15">
      <c r="A106" s="14"/>
      <c r="B106" s="14"/>
      <c r="C106" s="14"/>
      <c r="D106" s="14"/>
    </row>
    <row r="107" spans="1:4" x14ac:dyDescent="0.15">
      <c r="A107" s="14"/>
      <c r="B107" s="14"/>
      <c r="C107" s="14"/>
      <c r="D107" s="14"/>
    </row>
    <row r="108" spans="1:4" x14ac:dyDescent="0.15">
      <c r="A108" s="14"/>
      <c r="B108" s="14"/>
      <c r="C108" s="14"/>
      <c r="D108" s="14"/>
    </row>
    <row r="109" spans="1:4" x14ac:dyDescent="0.15">
      <c r="A109" s="14"/>
      <c r="B109" s="14"/>
      <c r="C109" s="14"/>
      <c r="D109" s="14"/>
    </row>
    <row r="110" spans="1:4" x14ac:dyDescent="0.15">
      <c r="A110" s="14"/>
      <c r="B110" s="14"/>
      <c r="C110" s="14"/>
      <c r="D110" s="14"/>
    </row>
    <row r="111" spans="1:4" x14ac:dyDescent="0.15">
      <c r="A111" s="14"/>
      <c r="B111" s="14"/>
      <c r="C111" s="14"/>
      <c r="D111" s="14"/>
    </row>
    <row r="112" spans="1:4" x14ac:dyDescent="0.15">
      <c r="A112" s="14"/>
      <c r="B112" s="14"/>
      <c r="C112" s="14"/>
      <c r="D112" s="14"/>
    </row>
    <row r="113" spans="1:4" x14ac:dyDescent="0.15">
      <c r="A113" s="14"/>
      <c r="B113" s="14"/>
      <c r="C113" s="14"/>
      <c r="D113" s="14"/>
    </row>
    <row r="114" spans="1:4" x14ac:dyDescent="0.15">
      <c r="A114" s="14"/>
      <c r="B114" s="14"/>
      <c r="C114" s="14"/>
      <c r="D114" s="14"/>
    </row>
    <row r="115" spans="1:4" x14ac:dyDescent="0.15">
      <c r="A115" s="14"/>
      <c r="B115" s="14"/>
      <c r="C115" s="14"/>
      <c r="D115" s="14"/>
    </row>
    <row r="116" spans="1:4" x14ac:dyDescent="0.15">
      <c r="A116" s="14"/>
      <c r="B116" s="14"/>
      <c r="C116" s="14"/>
      <c r="D116" s="14"/>
    </row>
    <row r="117" spans="1:4" x14ac:dyDescent="0.15">
      <c r="A117" s="14"/>
      <c r="B117" s="14"/>
      <c r="C117" s="14"/>
      <c r="D117" s="14"/>
    </row>
    <row r="118" spans="1:4" x14ac:dyDescent="0.15">
      <c r="A118" s="14"/>
      <c r="B118" s="14"/>
      <c r="C118" s="14"/>
      <c r="D118" s="14"/>
    </row>
    <row r="119" spans="1:4" x14ac:dyDescent="0.15">
      <c r="A119" s="14"/>
      <c r="B119" s="14"/>
      <c r="C119" s="14"/>
      <c r="D119" s="14"/>
    </row>
    <row r="120" spans="1:4" x14ac:dyDescent="0.15">
      <c r="A120" s="14"/>
      <c r="B120" s="14"/>
      <c r="C120" s="14"/>
      <c r="D120" s="14"/>
    </row>
    <row r="121" spans="1:4" x14ac:dyDescent="0.15">
      <c r="A121" s="14"/>
      <c r="B121" s="14"/>
      <c r="C121" s="14"/>
      <c r="D121" s="14"/>
    </row>
    <row r="122" spans="1:4" x14ac:dyDescent="0.15">
      <c r="A122" s="14"/>
      <c r="B122" s="14"/>
      <c r="C122" s="14"/>
      <c r="D122" s="14"/>
    </row>
    <row r="123" spans="1:4" x14ac:dyDescent="0.15">
      <c r="A123" s="14"/>
      <c r="B123" s="14"/>
      <c r="C123" s="14"/>
      <c r="D123" s="14"/>
    </row>
    <row r="124" spans="1:4" x14ac:dyDescent="0.15">
      <c r="A124" s="14"/>
      <c r="B124" s="14"/>
      <c r="C124" s="14"/>
      <c r="D124" s="14"/>
    </row>
    <row r="125" spans="1:4" x14ac:dyDescent="0.15">
      <c r="A125" s="14"/>
      <c r="B125" s="14"/>
      <c r="C125" s="14"/>
      <c r="D125" s="14"/>
    </row>
  </sheetData>
  <sheetProtection sheet="1" objects="1" scenarios="1"/>
  <mergeCells count="46">
    <mergeCell ref="E10:F10"/>
    <mergeCell ref="I10:J10"/>
    <mergeCell ref="A31:B31"/>
    <mergeCell ref="E18:F18"/>
    <mergeCell ref="I18:J18"/>
    <mergeCell ref="A25:B25"/>
    <mergeCell ref="A26:B26"/>
    <mergeCell ref="A27:B27"/>
    <mergeCell ref="H22:I22"/>
    <mergeCell ref="E14:F14"/>
    <mergeCell ref="I14:J14"/>
    <mergeCell ref="A20:F20"/>
    <mergeCell ref="Q18:R18"/>
    <mergeCell ref="A28:B28"/>
    <mergeCell ref="M24:N24"/>
    <mergeCell ref="M27:N27"/>
    <mergeCell ref="H25:J25"/>
    <mergeCell ref="K25:L25"/>
    <mergeCell ref="M25:N25"/>
    <mergeCell ref="J22:L22"/>
    <mergeCell ref="H23:J23"/>
    <mergeCell ref="K23:L23"/>
    <mergeCell ref="H27:J27"/>
    <mergeCell ref="D25:E25"/>
    <mergeCell ref="I37:J37"/>
    <mergeCell ref="M37:N37"/>
    <mergeCell ref="A32:B32"/>
    <mergeCell ref="A33:B33"/>
    <mergeCell ref="H32:J32"/>
    <mergeCell ref="K32:L32"/>
    <mergeCell ref="V5:X5"/>
    <mergeCell ref="Y5:AH5"/>
    <mergeCell ref="H33:J33"/>
    <mergeCell ref="K33:L33"/>
    <mergeCell ref="H31:J31"/>
    <mergeCell ref="K31:L31"/>
    <mergeCell ref="M23:N23"/>
    <mergeCell ref="H24:J24"/>
    <mergeCell ref="K24:L24"/>
    <mergeCell ref="M10:N10"/>
    <mergeCell ref="Q10:R10"/>
    <mergeCell ref="Q14:R14"/>
    <mergeCell ref="X22:Z22"/>
    <mergeCell ref="X23:Z23"/>
    <mergeCell ref="M14:N14"/>
    <mergeCell ref="M18:N18"/>
  </mergeCells>
  <phoneticPr fontId="0" type="noConversion"/>
  <dataValidations xWindow="63" yWindow="326" count="4">
    <dataValidation type="whole" operator="greaterThanOrEqual" allowBlank="1" showInputMessage="1" showErrorMessage="1" errorTitle="Invalid Entry" error="Enter a whole number_x000a_greater than or equal to zero" promptTitle="ENTER:" prompt="Exposed Cases" sqref="P15 D15 D7 L7 D11 L11 P11 L15 P7 H11 H15 H7" xr:uid="{00000000-0002-0000-0400-000000000000}">
      <formula1>0</formula1>
    </dataValidation>
    <dataValidation type="whole" operator="greaterThanOrEqual" allowBlank="1" showInputMessage="1" showErrorMessage="1" errorTitle="Invalid Entry" error="Enter a whole number_x000a_greater than or equal to zero" promptTitle="ENTER:" prompt="Unexposed Cases" sqref="Q15 E15 Q11 M7 E11 M11 E7 M15 Q7 I11 I15 I7" xr:uid="{00000000-0002-0000-0400-000001000000}">
      <formula1>0</formula1>
    </dataValidation>
    <dataValidation type="whole" operator="greaterThanOrEqual" allowBlank="1" showInputMessage="1" showErrorMessage="1" errorTitle="Invalid Entry" error="Enter a whole number_x000a_greater than or equal to zero" promptTitle="ENTER:" prompt="Exposed Controls" sqref="P16 D16 D8 L8 D12 L12 P12 L16 P8 H12 H16 H8" xr:uid="{00000000-0002-0000-0400-000002000000}">
      <formula1>0</formula1>
    </dataValidation>
    <dataValidation type="whole" operator="greaterThanOrEqual" allowBlank="1" showInputMessage="1" showErrorMessage="1" errorTitle="Invalid Entry" error="Enter a whole number_x000a_greater than or equal to zero" promptTitle="ENTER:" prompt="Unexposed Controls" sqref="Q16 E16 Q12 M8 E12 M12 E8 M16 Q8 I12 I16 I8" xr:uid="{00000000-0002-0000-0400-000003000000}">
      <formula1>0</formula1>
    </dataValidation>
  </dataValidations>
  <pageMargins left="0.75" right="0.75" top="1" bottom="1" header="0.5" footer="0.5"/>
  <pageSetup orientation="portrait" horizontalDpi="4294967293" verticalDpi="429496729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indexed="26"/>
  </sheetPr>
  <dimension ref="A1:AJ116"/>
  <sheetViews>
    <sheetView topLeftCell="A20" workbookViewId="0">
      <selection activeCell="E9" sqref="E9"/>
    </sheetView>
  </sheetViews>
  <sheetFormatPr baseColWidth="10" defaultColWidth="8.83203125" defaultRowHeight="13" x14ac:dyDescent="0.15"/>
  <cols>
    <col min="1" max="1" width="9.6640625" customWidth="1"/>
    <col min="2" max="2" width="9.1640625" customWidth="1"/>
    <col min="3" max="3" width="6.1640625" bestFit="1" customWidth="1"/>
    <col min="4" max="15" width="7.6640625" customWidth="1"/>
    <col min="16" max="17" width="4.6640625" customWidth="1"/>
    <col min="18" max="19" width="7.6640625" customWidth="1"/>
    <col min="20" max="20" width="7.6640625" bestFit="1" customWidth="1"/>
    <col min="21" max="27" width="4.6640625" customWidth="1"/>
    <col min="28" max="28" width="5.1640625" customWidth="1"/>
    <col min="29" max="42" width="4.6640625" customWidth="1"/>
    <col min="43" max="43" width="6.33203125" customWidth="1"/>
    <col min="44" max="44" width="8.33203125" bestFit="1" customWidth="1"/>
  </cols>
  <sheetData>
    <row r="1" spans="1:36" x14ac:dyDescent="0.15">
      <c r="A1" s="1" t="s">
        <v>9</v>
      </c>
    </row>
    <row r="2" spans="1:36" x14ac:dyDescent="0.15">
      <c r="A2" t="s">
        <v>98</v>
      </c>
    </row>
    <row r="3" spans="1:36" x14ac:dyDescent="0.15">
      <c r="A3" t="s">
        <v>99</v>
      </c>
    </row>
    <row r="5" spans="1:36" ht="32.25" customHeight="1" x14ac:dyDescent="0.15">
      <c r="A5" s="51" t="s">
        <v>100</v>
      </c>
      <c r="E5" s="238" t="s">
        <v>101</v>
      </c>
      <c r="F5" s="238"/>
      <c r="G5" s="52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8"/>
      <c r="V5" s="40"/>
      <c r="W5" s="14"/>
      <c r="X5" s="30"/>
      <c r="Y5" s="30"/>
      <c r="Z5" s="30"/>
      <c r="AA5" s="40"/>
      <c r="AB5" s="40"/>
      <c r="AC5" s="40"/>
      <c r="AD5" s="40"/>
      <c r="AE5" s="40"/>
      <c r="AF5" s="40"/>
      <c r="AG5" s="40"/>
      <c r="AH5" s="40"/>
      <c r="AI5" s="40"/>
      <c r="AJ5" s="40"/>
    </row>
    <row r="6" spans="1:36" ht="12" customHeight="1" x14ac:dyDescent="0.15">
      <c r="A6" s="53"/>
      <c r="E6" s="54">
        <v>1</v>
      </c>
      <c r="F6" s="54">
        <v>0</v>
      </c>
      <c r="G6" s="54"/>
      <c r="H6" s="17"/>
      <c r="I6" s="17"/>
      <c r="J6" s="55"/>
      <c r="K6" s="17"/>
      <c r="L6" s="17"/>
      <c r="M6" s="17"/>
      <c r="N6" s="17"/>
      <c r="O6" s="17"/>
      <c r="P6" s="17"/>
      <c r="Q6" s="17"/>
      <c r="R6" s="17"/>
      <c r="S6" s="17"/>
      <c r="T6" s="17"/>
      <c r="U6" s="8"/>
      <c r="V6" s="40"/>
      <c r="W6" s="14"/>
      <c r="X6" s="30"/>
      <c r="Y6" s="30"/>
      <c r="Z6" s="30"/>
      <c r="AA6" s="40"/>
      <c r="AB6" s="40"/>
      <c r="AC6" s="40"/>
      <c r="AD6" s="40"/>
      <c r="AE6" s="40"/>
      <c r="AF6" s="40"/>
      <c r="AG6" s="40"/>
      <c r="AH6" s="40"/>
      <c r="AI6" s="40"/>
      <c r="AJ6" s="40"/>
    </row>
    <row r="7" spans="1:36" ht="12" customHeight="1" x14ac:dyDescent="0.15">
      <c r="A7" s="239">
        <v>1</v>
      </c>
      <c r="B7" t="s">
        <v>102</v>
      </c>
      <c r="E7" s="11">
        <v>17</v>
      </c>
      <c r="F7" s="11">
        <v>13</v>
      </c>
      <c r="G7" s="52"/>
      <c r="H7" s="17"/>
      <c r="J7" s="55"/>
      <c r="K7" s="17"/>
      <c r="Q7" s="17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ht="12" customHeight="1" x14ac:dyDescent="0.15">
      <c r="A8" s="239"/>
      <c r="B8" t="s">
        <v>103</v>
      </c>
      <c r="E8" s="11">
        <v>12</v>
      </c>
      <c r="F8" s="11">
        <v>22</v>
      </c>
      <c r="G8" s="52"/>
      <c r="H8" s="17"/>
      <c r="J8" s="55"/>
      <c r="K8" s="17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ht="12" customHeight="1" x14ac:dyDescent="0.15">
      <c r="A9" s="53"/>
      <c r="G9" s="52"/>
      <c r="H9" s="17"/>
      <c r="J9" s="55"/>
      <c r="K9" s="17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36" ht="12" customHeight="1" x14ac:dyDescent="0.15">
      <c r="A10" s="53"/>
      <c r="E10" s="54">
        <v>2</v>
      </c>
      <c r="F10" s="54">
        <v>1</v>
      </c>
      <c r="G10" s="54">
        <v>0</v>
      </c>
      <c r="H10" s="17"/>
      <c r="I10" s="17"/>
      <c r="J10" s="55"/>
      <c r="K10" s="17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 spans="1:36" ht="12" customHeight="1" x14ac:dyDescent="0.15">
      <c r="A11" s="239">
        <v>2</v>
      </c>
      <c r="B11" t="s">
        <v>102</v>
      </c>
      <c r="E11" s="11"/>
      <c r="F11" s="11"/>
      <c r="G11" s="11"/>
      <c r="H11" s="17"/>
      <c r="J11" s="55"/>
      <c r="K11" s="17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spans="1:36" ht="12" customHeight="1" x14ac:dyDescent="0.15">
      <c r="A12" s="239"/>
      <c r="B12" t="s">
        <v>103</v>
      </c>
      <c r="E12" s="11"/>
      <c r="F12" s="11"/>
      <c r="G12" s="11"/>
      <c r="H12" s="17"/>
      <c r="J12" s="55"/>
      <c r="K12" s="17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spans="1:36" ht="12" customHeight="1" x14ac:dyDescent="0.15">
      <c r="A13" s="53"/>
      <c r="E13" s="17"/>
      <c r="F13" s="17"/>
      <c r="G13" s="17"/>
      <c r="H13" s="17"/>
      <c r="J13" s="55"/>
      <c r="K13" s="17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 ht="12" customHeight="1" x14ac:dyDescent="0.15">
      <c r="A14" s="53"/>
      <c r="E14" s="54">
        <v>3</v>
      </c>
      <c r="F14" s="54">
        <v>2</v>
      </c>
      <c r="G14" s="54">
        <v>1</v>
      </c>
      <c r="H14" s="54">
        <v>0</v>
      </c>
      <c r="I14" s="18"/>
      <c r="J14" s="55"/>
      <c r="K14" s="17"/>
      <c r="L14" s="17"/>
      <c r="M14" s="17"/>
      <c r="N14" s="17"/>
      <c r="O14" s="17"/>
      <c r="P14" s="17"/>
      <c r="Q14" s="17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6" ht="12" customHeight="1" x14ac:dyDescent="0.15">
      <c r="A15" s="239">
        <v>3</v>
      </c>
      <c r="B15" t="s">
        <v>102</v>
      </c>
      <c r="E15" s="11"/>
      <c r="F15" s="11"/>
      <c r="G15" s="11"/>
      <c r="H15" s="11"/>
      <c r="J15" s="55"/>
      <c r="K15" s="17"/>
      <c r="L15" s="23"/>
      <c r="M15" s="17"/>
      <c r="N15" s="17"/>
      <c r="O15" s="32"/>
      <c r="P15" s="32"/>
      <c r="Q15" s="17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6" ht="12" customHeight="1" x14ac:dyDescent="0.15">
      <c r="A16" s="239"/>
      <c r="B16" t="s">
        <v>103</v>
      </c>
      <c r="E16" s="11"/>
      <c r="F16" s="11"/>
      <c r="G16" s="11"/>
      <c r="H16" s="11"/>
      <c r="J16" s="55"/>
      <c r="K16" s="17"/>
      <c r="L16" s="17"/>
      <c r="M16" s="17"/>
      <c r="N16" s="17"/>
      <c r="O16" s="17"/>
      <c r="P16" s="17"/>
      <c r="Q16" s="17"/>
      <c r="R16" s="17"/>
      <c r="S16" s="17"/>
      <c r="T16" s="17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1:36" ht="12" customHeight="1" x14ac:dyDescent="0.15">
      <c r="A17" s="53"/>
      <c r="J17" s="55"/>
      <c r="K17" s="17"/>
      <c r="L17" s="17"/>
      <c r="M17" s="17"/>
      <c r="N17" s="17"/>
      <c r="O17" s="17"/>
      <c r="P17" s="17"/>
      <c r="Q17" s="17"/>
      <c r="R17" s="17"/>
      <c r="S17" s="17"/>
      <c r="T17" s="17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spans="1:36" ht="12" customHeight="1" x14ac:dyDescent="0.15">
      <c r="A18" s="53"/>
      <c r="E18" s="54">
        <v>4</v>
      </c>
      <c r="F18" s="54">
        <v>3</v>
      </c>
      <c r="G18" s="54">
        <v>2</v>
      </c>
      <c r="H18" s="54">
        <v>1</v>
      </c>
      <c r="I18" s="54">
        <v>0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1:36" ht="12" customHeight="1" x14ac:dyDescent="0.15">
      <c r="A19" s="239">
        <v>4</v>
      </c>
      <c r="B19" t="s">
        <v>102</v>
      </c>
      <c r="E19" s="11"/>
      <c r="F19" s="11"/>
      <c r="G19" s="11"/>
      <c r="H19" s="11"/>
      <c r="I19" s="11"/>
      <c r="J19" s="53"/>
      <c r="K19" s="17"/>
      <c r="L19" s="17"/>
      <c r="M19" s="17"/>
      <c r="N19" s="17"/>
      <c r="O19" s="17"/>
      <c r="P19" s="17"/>
      <c r="Q19" s="17"/>
      <c r="R19" s="17"/>
      <c r="S19" s="17"/>
      <c r="T19" s="17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6" ht="12" customHeight="1" x14ac:dyDescent="0.15">
      <c r="A20" s="239"/>
      <c r="B20" t="s">
        <v>103</v>
      </c>
      <c r="E20" s="11"/>
      <c r="F20" s="11"/>
      <c r="G20" s="11"/>
      <c r="H20" s="11"/>
      <c r="I20" s="11"/>
      <c r="J20" s="53"/>
      <c r="K20" s="17"/>
      <c r="M20" s="17"/>
      <c r="N20" s="17"/>
      <c r="Q20" s="17"/>
      <c r="R20" s="17"/>
      <c r="S20" s="17"/>
      <c r="T20" s="17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J20" s="14"/>
    </row>
    <row r="21" spans="1:36" ht="12" customHeight="1" x14ac:dyDescent="0.15">
      <c r="B21" s="53"/>
      <c r="C21" s="53"/>
      <c r="D21" s="53"/>
      <c r="E21" s="53"/>
      <c r="F21" s="53"/>
      <c r="G21" s="53"/>
      <c r="H21" s="53"/>
      <c r="J21" s="53"/>
      <c r="K21" s="17"/>
      <c r="L21" s="17"/>
      <c r="M21" s="17"/>
      <c r="N21" s="17"/>
      <c r="O21" s="50"/>
      <c r="P21" s="50"/>
      <c r="Q21" s="50"/>
      <c r="R21" s="50"/>
      <c r="S21" s="50"/>
      <c r="T21" s="50"/>
      <c r="U21" s="252" t="s">
        <v>104</v>
      </c>
      <c r="V21" s="252" t="s">
        <v>105</v>
      </c>
      <c r="W21" s="252" t="s">
        <v>106</v>
      </c>
      <c r="X21" s="252"/>
      <c r="Y21" s="250"/>
      <c r="AD21" s="14"/>
      <c r="AE21" s="14"/>
      <c r="AI21" s="14"/>
      <c r="AJ21" s="14"/>
    </row>
    <row r="22" spans="1:36" ht="12" customHeight="1" x14ac:dyDescent="0.15">
      <c r="A22" s="53"/>
      <c r="E22" s="54">
        <v>5</v>
      </c>
      <c r="F22" s="54">
        <v>4</v>
      </c>
      <c r="G22" s="54">
        <v>3</v>
      </c>
      <c r="H22" s="54">
        <v>2</v>
      </c>
      <c r="I22" s="54">
        <v>1</v>
      </c>
      <c r="J22" s="54">
        <v>0</v>
      </c>
      <c r="K22" s="17"/>
      <c r="L22" s="17"/>
      <c r="M22" s="17"/>
      <c r="N22" s="17"/>
      <c r="O22" s="50"/>
      <c r="P22" s="251" t="s">
        <v>107</v>
      </c>
      <c r="Q22" s="251" t="s">
        <v>108</v>
      </c>
      <c r="R22" s="50"/>
      <c r="S22" s="50"/>
      <c r="T22" s="50"/>
      <c r="U22" s="252"/>
      <c r="V22" s="252"/>
      <c r="W22" s="252"/>
      <c r="X22" s="252"/>
      <c r="Y22" s="250"/>
      <c r="AA22" s="30"/>
      <c r="AB22" s="30"/>
      <c r="AD22" s="14"/>
      <c r="AE22" s="14"/>
    </row>
    <row r="23" spans="1:36" ht="12" customHeight="1" x14ac:dyDescent="0.15">
      <c r="A23" s="239">
        <v>5</v>
      </c>
      <c r="B23" t="s">
        <v>102</v>
      </c>
      <c r="E23" s="11"/>
      <c r="F23" s="11"/>
      <c r="G23" s="11"/>
      <c r="H23" s="11"/>
      <c r="I23" s="11"/>
      <c r="J23" s="11"/>
      <c r="K23" s="17"/>
      <c r="L23" s="17"/>
      <c r="M23" s="17"/>
      <c r="N23" s="17"/>
      <c r="O23" s="50"/>
      <c r="P23" s="251"/>
      <c r="Q23" s="251"/>
      <c r="R23" s="253" t="s">
        <v>13</v>
      </c>
      <c r="S23" s="253"/>
      <c r="T23" s="253"/>
      <c r="U23" s="252"/>
      <c r="V23" s="252"/>
      <c r="W23" s="252"/>
      <c r="X23" s="252"/>
      <c r="Y23" s="250"/>
      <c r="AA23" s="30"/>
      <c r="AB23" s="30"/>
    </row>
    <row r="24" spans="1:36" ht="12" customHeight="1" x14ac:dyDescent="0.15">
      <c r="A24" s="239"/>
      <c r="B24" t="s">
        <v>103</v>
      </c>
      <c r="E24" s="11"/>
      <c r="F24" s="11"/>
      <c r="G24" s="11"/>
      <c r="H24" s="11"/>
      <c r="I24" s="11"/>
      <c r="J24" s="11"/>
      <c r="K24" s="17"/>
      <c r="L24" s="17"/>
      <c r="M24" s="17"/>
      <c r="O24" s="14"/>
      <c r="P24" s="251"/>
      <c r="Q24" s="251"/>
      <c r="R24" s="42" t="s">
        <v>22</v>
      </c>
      <c r="S24" s="47" t="s">
        <v>23</v>
      </c>
      <c r="T24" s="48" t="s">
        <v>24</v>
      </c>
      <c r="U24" s="252"/>
      <c r="V24" s="252"/>
      <c r="W24" s="252"/>
      <c r="X24" s="252"/>
      <c r="Y24" s="250"/>
    </row>
    <row r="25" spans="1:36" ht="12" customHeight="1" x14ac:dyDescent="0.15">
      <c r="B25" s="53"/>
      <c r="C25" s="53"/>
      <c r="D25" s="53"/>
      <c r="E25" s="53"/>
      <c r="F25" s="53"/>
      <c r="G25" s="53"/>
      <c r="H25" s="53"/>
      <c r="J25" s="53"/>
      <c r="K25" s="17"/>
      <c r="L25" s="17"/>
      <c r="M25" s="17"/>
      <c r="N25" s="17"/>
      <c r="O25" s="14">
        <v>1</v>
      </c>
      <c r="P25" s="61">
        <f>IF(SUM(T25)&gt;0,0.5*F7,"")</f>
        <v>6.5</v>
      </c>
      <c r="Q25" s="61">
        <f xml:space="preserve"> IF(SUM(T25)&gt;0,0.5*E8,"")</f>
        <v>6</v>
      </c>
      <c r="R25" s="144">
        <f xml:space="preserve"> IF(F7&gt;0,F7,"")</f>
        <v>13</v>
      </c>
      <c r="S25" s="61">
        <f xml:space="preserve"> IF(SUM(T25)&gt;0,0.5*(F7+E8),"")</f>
        <v>12.5</v>
      </c>
      <c r="T25" s="145">
        <f xml:space="preserve"> IF( (F7+E8)/4 &gt;0,  (F7+E8)/4, "")</f>
        <v>6.25</v>
      </c>
      <c r="U25" s="61">
        <f xml:space="preserve"> IF(SUM(T25)&gt;0,F7*2/4,"")</f>
        <v>6.5</v>
      </c>
      <c r="V25" s="61">
        <f>IF(SUM(T25)&gt;0,0,"")</f>
        <v>0</v>
      </c>
      <c r="W25" s="61">
        <f>IF(SUM(T25)&gt;0,E8*2/4,"")</f>
        <v>6</v>
      </c>
      <c r="X25" s="14"/>
      <c r="Z25" s="60"/>
    </row>
    <row r="26" spans="1:36" ht="12" customHeight="1" x14ac:dyDescent="0.15">
      <c r="A26" s="53"/>
      <c r="E26" s="54">
        <v>6</v>
      </c>
      <c r="F26" s="54">
        <v>5</v>
      </c>
      <c r="G26" s="54">
        <v>4</v>
      </c>
      <c r="H26" s="54">
        <v>3</v>
      </c>
      <c r="I26" s="54">
        <v>2</v>
      </c>
      <c r="J26" s="54">
        <v>1</v>
      </c>
      <c r="K26" s="54">
        <v>0</v>
      </c>
      <c r="L26" s="17"/>
      <c r="M26" s="17"/>
      <c r="N26" s="17"/>
      <c r="O26" s="14">
        <v>2</v>
      </c>
      <c r="P26" s="61" t="str">
        <f xml:space="preserve"> IF(SUM(T26)&gt;0,(F11 + 2*G11)/3,"")</f>
        <v/>
      </c>
      <c r="Q26" s="61" t="str">
        <f xml:space="preserve"> IF(SUM(T26)&gt;0,(2*E12 + F12)/3,"")</f>
        <v/>
      </c>
      <c r="R26" s="144" t="str">
        <f xml:space="preserve"> IF(F11 + G11&gt;0,F11 + G11,"")</f>
        <v/>
      </c>
      <c r="S26" s="61" t="str">
        <f xml:space="preserve"> IF(SUM(T26)&gt;0,(F11 + E12)*2/3 + (G11 + F12)/3,"")</f>
        <v/>
      </c>
      <c r="T26" s="145" t="str">
        <f xml:space="preserve"> IF((F11+E12)*2/9 + (G11+F12)*2/9 &gt;0,(F11+E12)*2/9 + (G11+F12)*2/9,"")</f>
        <v/>
      </c>
      <c r="U26" s="61" t="str">
        <f>IF(SUM(T26)&gt;0,F11*2/9+G11*6/9,"")</f>
        <v/>
      </c>
      <c r="V26" s="61" t="str">
        <f>IF(SUM(T26)&gt;0,(F11+F12)/9,"")</f>
        <v/>
      </c>
      <c r="W26" s="61" t="str">
        <f>IF(SUM(T26)&gt;0,F12*2/9+E12*6/9,"")</f>
        <v/>
      </c>
      <c r="X26" s="14"/>
    </row>
    <row r="27" spans="1:36" ht="12" customHeight="1" x14ac:dyDescent="0.15">
      <c r="A27" s="239">
        <v>6</v>
      </c>
      <c r="B27" t="s">
        <v>102</v>
      </c>
      <c r="E27" s="11"/>
      <c r="F27" s="11"/>
      <c r="G27" s="11"/>
      <c r="H27" s="11"/>
      <c r="I27" s="11"/>
      <c r="J27" s="11"/>
      <c r="K27" s="11"/>
      <c r="O27" s="14">
        <v>3</v>
      </c>
      <c r="P27" s="61" t="str">
        <f xml:space="preserve"> IF(SUM(T27)&gt;0,(F15 + 2*G15 + 3*H15)/4,"")</f>
        <v/>
      </c>
      <c r="Q27" s="61" t="str">
        <f xml:space="preserve"> IF(SUM(T27)&gt;0,(3*E16 + 2*F16 + G16)/4,"")</f>
        <v/>
      </c>
      <c r="R27" s="144" t="str">
        <f>IF( F15 + G15 + H15, F15 + G15 + H15,"")</f>
        <v/>
      </c>
      <c r="S27" s="61" t="str">
        <f xml:space="preserve"> IF(SUM(T27)&gt;0,(F15+E16)*3/4 + (G15 + F16)/2 + (H15+G16)/4,"")</f>
        <v/>
      </c>
      <c r="T27" s="145" t="str">
        <f xml:space="preserve"> IF((F15+E16)*3/16 + (G15+F16)*4/16  + (H15+G16)*3/16 &gt;0,(F15+E16)*3/16 + (G15+F16)*4/16  + (H15+G16)*3/16,"")</f>
        <v/>
      </c>
      <c r="U27" s="61" t="str">
        <f>IF(SUM(T27)&gt;0,F15*2/16+G15*6/16+H15*12/16,"")</f>
        <v/>
      </c>
      <c r="V27" s="61" t="str">
        <f>IF(SUM(T27)&gt;0,(F15+F16)*2/16 + (G15+G16)*2/16,"")</f>
        <v/>
      </c>
      <c r="W27" s="61" t="str">
        <f>IF(SUM(T27)&gt;0,G16*2/16+F16*6/16+E16*12/16,"")</f>
        <v/>
      </c>
      <c r="X27" s="14"/>
    </row>
    <row r="28" spans="1:36" ht="12" customHeight="1" x14ac:dyDescent="0.15">
      <c r="A28" s="239"/>
      <c r="B28" t="s">
        <v>103</v>
      </c>
      <c r="E28" s="11"/>
      <c r="F28" s="11"/>
      <c r="G28" s="11"/>
      <c r="H28" s="11"/>
      <c r="I28" s="11"/>
      <c r="J28" s="11"/>
      <c r="K28" s="11"/>
      <c r="O28" s="14">
        <v>4</v>
      </c>
      <c r="P28" s="61" t="str">
        <f xml:space="preserve"> IF(SUM(T28)&gt;0,(F19 + 2*G19 + 3*H19 + 4*I19)/5,"")</f>
        <v/>
      </c>
      <c r="Q28" s="61" t="str">
        <f>IF(SUM(T28)&gt;0, (4*E20 + 3*F20 + 2*G20 + H20) /5,"")</f>
        <v/>
      </c>
      <c r="R28" s="144" t="str">
        <f xml:space="preserve"> IF(F19 + G19 + H19 + I19,F19 + G19 + H19 + I19,"")</f>
        <v/>
      </c>
      <c r="S28" s="61" t="str">
        <f xml:space="preserve"> IF(SUM(T28)&gt;0,(F19+E20)*4/5 + (G19 + F20)*3/5 + (H19+G20)*2/5 + (I19+H20)/5,"")</f>
        <v/>
      </c>
      <c r="T28" s="145" t="str">
        <f xml:space="preserve"> IF((F19+E20)*4/25 + (G19+F20)*6/25  + (H19+G20)*6/25 + (I19+H20)*4/25 &gt;0,(F19+E20)*4/25 + (G19+F20)*6/25  + (H19+G20)*6/25 + (I19+H20)*4/25,"")</f>
        <v/>
      </c>
      <c r="U28" s="61" t="str">
        <f>IF(SUM(T28)&gt;0,F19*2/25+G19*6/25+H19*12/25+I19*20/25,"")</f>
        <v/>
      </c>
      <c r="V28" s="61" t="str">
        <f>IF(SUM(T28)&gt;0,(F19+F20)*3/25 + (G19+G20)*4/25 + (H19+H20)*3/25,"")</f>
        <v/>
      </c>
      <c r="W28" s="61" t="str">
        <f>IF(SUM(T28)&gt;0,H20*2/25+G20*6/25+F20*12/25+E20*20/25,"")</f>
        <v/>
      </c>
      <c r="X28" s="14"/>
    </row>
    <row r="29" spans="1:36" ht="12" customHeight="1" x14ac:dyDescent="0.15">
      <c r="O29" s="14">
        <v>5</v>
      </c>
      <c r="P29" s="61" t="str">
        <f xml:space="preserve"> IF(SUM(T29)&gt;0,(F23 + 2*G23 + 3*H23 + 4*I23 + 5*J23)/6,"")</f>
        <v/>
      </c>
      <c r="Q29" s="61" t="str">
        <f xml:space="preserve"> IF(SUM(T29)&gt;0,(5*E24 + 4*F24 + 3*G24 + 2*H24 + I24)/6,"")</f>
        <v/>
      </c>
      <c r="R29" s="144" t="str">
        <f xml:space="preserve"> IF(F23 + G23 + H23 + I23 + J23&gt;0,F23 + G23 + H23 + I23 + J23,"")</f>
        <v/>
      </c>
      <c r="S29" s="61" t="str">
        <f xml:space="preserve"> IF(SUM(T29)&gt;0,(F23+E24)*5/6 + (G23 + F24)*4/6 + (H23+G24)*3/6 + (I23+H24)*2/6 + (J23+I24)/6,"")</f>
        <v/>
      </c>
      <c r="T29" s="145" t="str">
        <f xml:space="preserve"> IF((F23+E24)*5/36 + (G23+F24)*8/36  + (H23+G24)*9/36 + (I23+H24)*8/36 + (J23+I24)*5/36 &gt;0,(F23+E24)*5/36 + (G23+F24)*8/36  + (H23+G24)*9/36 + (I23+H24)*8/36 + (J23+I24)*5/36,"")</f>
        <v/>
      </c>
      <c r="U29" s="61" t="str">
        <f>IF(SUM(T29)&gt;0,F23*2/36+G23*6/36+H23*12/36+I23*20/36+J23*30/36,"")</f>
        <v/>
      </c>
      <c r="V29" s="61" t="str">
        <f>IF(SUM(T29)&gt;0,(F23+F24)*4/36 + (G23+G24)*6/36 + (H23+H24)*6/36 + (I23+I24)*4/36,"")</f>
        <v/>
      </c>
      <c r="W29" s="61" t="str">
        <f>IF(SUM(T29)&gt;0,I24*2/36+H24*6/36+G24*12/36+F24*20/36+E24*30/36,"")</f>
        <v/>
      </c>
      <c r="X29" s="14"/>
    </row>
    <row r="30" spans="1:36" ht="12" customHeight="1" x14ac:dyDescent="0.15">
      <c r="A30" s="53"/>
      <c r="E30" s="54">
        <v>7</v>
      </c>
      <c r="F30" s="54">
        <v>6</v>
      </c>
      <c r="G30" s="54">
        <v>5</v>
      </c>
      <c r="H30" s="54">
        <v>4</v>
      </c>
      <c r="I30" s="54">
        <v>3</v>
      </c>
      <c r="J30" s="54">
        <v>2</v>
      </c>
      <c r="K30" s="54">
        <v>1</v>
      </c>
      <c r="L30" s="54">
        <v>0</v>
      </c>
      <c r="O30" s="14">
        <v>6</v>
      </c>
      <c r="P30" s="61" t="str">
        <f xml:space="preserve"> IF(SUM(T30)&gt;0,(F27 + 2*G27 + 3*H27 + 4*I27 + 5*J27 + 6*K27)/7,"")</f>
        <v/>
      </c>
      <c r="Q30" s="61" t="str">
        <f>IF(SUM(T30)&gt;0, (6*E28 + 5*F28 + 4*G28 + 3*H28 + 2*I28 + J28)/7,"")</f>
        <v/>
      </c>
      <c r="R30" s="144" t="str">
        <f xml:space="preserve"> IF(F27 + G27 + H27 + I27 + J27 +K27&gt;0,F27 + G27 + H27 + I27 + J27 +K27,"")</f>
        <v/>
      </c>
      <c r="S30" s="61" t="str">
        <f xml:space="preserve"> IF(SUM(T30)&gt;0,(F27+E28)*6/7 + (G27 + F28)*5/7 + (H27+G28)*4/7 + (I27+H28)*3/7 + (J27+I28)*2/7 + (K27+J28)/7,"")</f>
        <v/>
      </c>
      <c r="T30" s="145" t="str">
        <f xml:space="preserve"> IF((F27+E28)*6/49 + (G27+F28)*10/49  + (H27+G28)*12/49 + (I27+H28)*12/49 + (J27+I28)*10/49 + (K27+J28)*6/49 &gt;0,(F27+E28)*6/49 + (G27+F28)*10/49  + (H27+G28)*12/49 + (I27+H28)*12/49 + (J27+I28)*10/49 + (K27+J28)*6/49,"")</f>
        <v/>
      </c>
      <c r="U30" s="61" t="str">
        <f>IF(SUM(T30)&gt;0,F27*2/49+G27*6/49+H27*12/49+I27*20/49+J27*30/49+K27*42/49,"")</f>
        <v/>
      </c>
      <c r="V30" s="61" t="str">
        <f>IF(SUM(T30)&gt;0,(F27+F28)*5/49 + (G27+G28)*8/49 + (H27+H28)*9/49 + (I27+I28)*8/49 + (J27+J28)*5/49,"")</f>
        <v/>
      </c>
      <c r="W30" s="61" t="str">
        <f>IF(SUM(T30)&gt;0,J28*2/49+I28*6/49+H28*12/49+G28*20/49+F28*30/49+E28*42/49,"")</f>
        <v/>
      </c>
      <c r="X30" s="14"/>
    </row>
    <row r="31" spans="1:36" ht="12" customHeight="1" x14ac:dyDescent="0.15">
      <c r="A31" s="239">
        <v>7</v>
      </c>
      <c r="B31" t="s">
        <v>102</v>
      </c>
      <c r="E31" s="11"/>
      <c r="F31" s="11"/>
      <c r="G31" s="11"/>
      <c r="H31" s="11"/>
      <c r="I31" s="11"/>
      <c r="J31" s="11"/>
      <c r="K31" s="11"/>
      <c r="L31" s="11"/>
      <c r="O31" s="14">
        <v>7</v>
      </c>
      <c r="P31" s="61" t="str">
        <f xml:space="preserve"> IF(SUM(T31)&gt;0, (F31 + 2*G31 + 3*H31 + 4*I31 + 5*J31 + 6*K31 + 7*L31)/8,"")</f>
        <v/>
      </c>
      <c r="Q31" s="61" t="str">
        <f>IF(SUM(T31)&gt;0, (7*E32 + 6*F32 + 5*G32 + 4*H32 + 3*I32 + 2*J32 +K32)/8,"")</f>
        <v/>
      </c>
      <c r="R31" s="144" t="str">
        <f xml:space="preserve"> IF(F31 + G31 + H31 + I31 + J31 +K31 +L31&gt;0,F31 + G31 + H31 + I31 + J31 +K31 +L31,"")</f>
        <v/>
      </c>
      <c r="S31" s="61" t="str">
        <f xml:space="preserve"> IF(SUM(T31)&gt;0,(F31+E32)*7/8 + (G31 + F32)*6/8 + (H31+G32)*5/8 + (I31+H32)*4/8 + (J31+I32)*3/8 + (K31+J32)*2/8 + (L31+K32)/8,"")</f>
        <v/>
      </c>
      <c r="T31" s="145" t="str">
        <f xml:space="preserve"> IF((F31+E32)*7/64 + (G31+F32)*12/64  + (H31+G32)*15/64 + (I31+H32)*16/64 + (J31+I32)*15/64 + (K31+J32)*12/64 + (L31+K32)*7/64 &gt;0,(F31+E32)*7/64 + (G31+F32)*12/64  + (H31+G32)*15/64 + (I31+H32)*16/64 + (J31+I32)*15/64 + (K31+J32)*12/64 + (L31+K32)*7/64,"")</f>
        <v/>
      </c>
      <c r="U31" s="61" t="str">
        <f>IF(SUM(T31)&gt;0,F31*2/64+G31*6/64+H31*12/64+I31*20/64+J31*30/64+K31*42/64+L31*56/64,"")</f>
        <v/>
      </c>
      <c r="V31" s="61" t="str">
        <f>IF(SUM(T31)&gt;0,(F31+F32)*6/64 + (G31+G32)*10/64 + (H31+H32)*12/64 + (I31+I32)*12/64 + (J31+J32)*10/64 + (K31+K32)*6/64,"")</f>
        <v/>
      </c>
      <c r="W31" s="61" t="str">
        <f>IF(SUM(T31)&gt;0,K32*2/64+J32*6/64+I32*12/64+H32*20/64+G32*30/64+F32*42/64+E32*56/64,"")</f>
        <v/>
      </c>
      <c r="X31" s="14"/>
    </row>
    <row r="32" spans="1:36" ht="12" customHeight="1" x14ac:dyDescent="0.15">
      <c r="A32" s="239"/>
      <c r="B32" t="s">
        <v>103</v>
      </c>
      <c r="E32" s="11"/>
      <c r="F32" s="11"/>
      <c r="G32" s="11"/>
      <c r="H32" s="11"/>
      <c r="I32" s="11"/>
      <c r="J32" s="11"/>
      <c r="K32" s="11"/>
      <c r="L32" s="11"/>
      <c r="O32" s="14">
        <v>8</v>
      </c>
      <c r="P32" s="61" t="str">
        <f xml:space="preserve"> IF(SUM(T32)&gt;0,(F35 + 2*G35 + 3*H35 + 4*I35 + 5*J35 + 6*K35 + 7*L35 + 8*M35)/9,"")</f>
        <v/>
      </c>
      <c r="Q32" s="61" t="str">
        <f xml:space="preserve"> IF(SUM(T32)&gt;0,(8*E36 + 7*F36 + 6*G36 + 5*H36 + 4*I36 + 3*J36 +2*K36 + L36)/9,"")</f>
        <v/>
      </c>
      <c r="R32" s="144" t="str">
        <f xml:space="preserve"> IF(F35 + G35 + H35 + I35 + J35 +K35 +L35 +M35&gt;0,F35 + G35 + H35 + I35 + J35 +K35 +L35 +M35,"")</f>
        <v/>
      </c>
      <c r="S32" s="61" t="str">
        <f xml:space="preserve"> IF(SUM(T32)&gt;0,(F35+E36)*8/9 + (G35 + F36)*7/9 + (H35+G36)*6/9 + (I35+H36)*5/9 + (J35+I36)*4/9 + (K35+J36)*3/9 + (L35+K36)*2/9 + (M35+L36)/9,"")</f>
        <v/>
      </c>
      <c r="T32" s="145" t="str">
        <f xml:space="preserve"> IF((F35+E36)*8/81 + (G35+F36)*14/81  + (H35+G36)*18/81 + (I35+H36)*20/81 + (J35+I36)*20/81 + (K35+J36)*18/81 + (L35+K36)*14/81 + (M35+L36)*8/81 &gt; 0,(F35+E36)*8/81 + (G35+F36)*14/81  + (H35+G36)*18/81 + (I35+H36)*20/81 + (J35+I36)*20/81 + (K35+J36)*18/81 + (L35+K36)*14/81 + (M35+L36)*8/81,"")</f>
        <v/>
      </c>
      <c r="U32" s="61" t="str">
        <f>IF(SUM(T32)&gt;0,F35*2/81+G35*6/81+H35*12/81+I35*20/81+J35*30/81 +K35*42/81+L35*56/81+M35*72/81,"")</f>
        <v/>
      </c>
      <c r="V32" s="61" t="str">
        <f>IF(SUM(T32)&gt;0,(F35+F36)*7/81 + (G35+G36)*12/81 + (H35+H36)*15/81 + (I35+I36)*16/81 + (J35+J36)*15/81 + (K35+K36)*12/81 + (L35+L36)*7/81,"")</f>
        <v/>
      </c>
      <c r="W32" s="61" t="str">
        <f>IF(SUM(T32)&gt;0,L36*2/81+K36*6/81+J36*12/81+I36*20/81+H36*30/81 +G36*42/81+F36*56/81+E36*72/81,"")</f>
        <v/>
      </c>
      <c r="X32" s="14"/>
    </row>
    <row r="33" spans="1:24" ht="12" customHeight="1" x14ac:dyDescent="0.15">
      <c r="O33" s="14">
        <v>9</v>
      </c>
      <c r="P33" s="61" t="str">
        <f xml:space="preserve"> IF(SUM(T33)&gt;0,(F39 + 2*G39 + 3*H39 + 4*I39 + 5*J39 + 6*K39 + 7*L39 + 8*M39 + 9*N39)/10,"")</f>
        <v/>
      </c>
      <c r="Q33" s="61" t="str">
        <f>IF(SUM(T33)&gt;0, (9*E40 + 8*F40 + 7*G40 + 6*H40 + 5*I40 + 4*J40 +3*K40 + 2*L40 + M40)/10,"")</f>
        <v/>
      </c>
      <c r="R33" s="144" t="str">
        <f xml:space="preserve"> IF(F39 + G39 + H39 + I39 + J39 +K39 +L39 +M39 +N39,F39 + G39 + H39 + I39 + J39 +K39 +L39 +M39 +N39,"")</f>
        <v/>
      </c>
      <c r="S33" s="61" t="str">
        <f xml:space="preserve"> IF(SUM(T33)&gt;0,(F39+E40)*9/10 + (G39 + F40)*8/10 + (H39+G40)*7/10 + (I39+H40)*6/10 + (J39+I40)*5/10 + (K39+J40)*4/10 + (L39+K40)*3/10 + (M39+L40)*2/10 + (N39+M40)/10,"")</f>
        <v/>
      </c>
      <c r="T33" s="145" t="str">
        <f xml:space="preserve"> IF((F39+E40)*9/100 + (G39+F40)*16/100  + (H39+G40)*21/100 + (I39+H40)*24/100 + (J39+I40)*25/100 + (K39+J40)*24/100 + (L39+K40)*21/100 + (M39+L40)*16/100 + (N39+M40)*9/100 &gt;0,(F39+E40)*9/100 + (G39+F40)*16/100  + (H39+G40)*21/100 + (I39+H40)*24/100 + (J39+I40)*25/100 + (K39+J40)*24/100 + (L39+K40)*21/100 + (M39+L40)*16/100 + (N39+M40)*9/100,"")</f>
        <v/>
      </c>
      <c r="U33" s="61" t="str">
        <f>IF(SUM(T33)&gt;0,F39*2/100+G39*6/100+H39*12/100+I39*20/100+J39*30/100 +K39*42/100+L39*56/100+M39*72/100+N39*90/100,"")</f>
        <v/>
      </c>
      <c r="V33" s="61" t="str">
        <f>IF(SUM(T33)&gt;0,(F39+F40)*8/100 + (G39+G40)*14/100 + (H39+H40)*18/100 + (I39+I40)*20/100 + (J39+J40)*20/100 + (K39+K40)*18/100 + (L39+L40)*14/100 + (M39+M40)*8/100,"")</f>
        <v/>
      </c>
      <c r="W33" s="61" t="str">
        <f xml:space="preserve"> IF(SUM(T33)&gt;0,M40*2/100 + L40*6/100+K40*12/100+J40*20/100+I40*30/100 +H40*42/100+G40*56/100+F40*72/100+E40*90/100,"")</f>
        <v/>
      </c>
      <c r="X33" s="14"/>
    </row>
    <row r="34" spans="1:24" ht="12" customHeight="1" x14ac:dyDescent="0.15">
      <c r="A34" s="53"/>
      <c r="E34" s="54">
        <v>8</v>
      </c>
      <c r="F34" s="54">
        <v>7</v>
      </c>
      <c r="G34" s="54">
        <v>6</v>
      </c>
      <c r="H34" s="54">
        <v>5</v>
      </c>
      <c r="I34" s="54">
        <v>4</v>
      </c>
      <c r="J34" s="54">
        <v>3</v>
      </c>
      <c r="K34" s="54">
        <v>2</v>
      </c>
      <c r="L34" s="54">
        <v>1</v>
      </c>
      <c r="M34" s="54">
        <v>0</v>
      </c>
      <c r="O34" s="14">
        <v>10</v>
      </c>
      <c r="P34" s="61" t="str">
        <f xml:space="preserve"> IF(SUM(T34)&gt;0,(F43+ 2*G43 + 3*H43 + 4*I43 + 5*J43 + 6*K43 + 7*L43 + 8*M43 + 9*N43 +10*O43)/11,"")</f>
        <v/>
      </c>
      <c r="Q34" s="61" t="str">
        <f xml:space="preserve"> IF(SUM(T34)&gt;0,(10*E44 + 9*F44 + 8*G44 + 7*H44 + 6*I44 + 5*J44 +4*K44 + 3*L44 + 2*M44 + N44)/11,"")</f>
        <v/>
      </c>
      <c r="R34" s="146" t="str">
        <f xml:space="preserve"> IF(F43 + G43 + H43 + I43 + J43 +K43 +L43 +M43 +N43 +O43&gt;0,F43 + G43 + H43 + I43 + J43 +K43 +L43 +M43 +N43 +O43,"")</f>
        <v/>
      </c>
      <c r="S34" s="147" t="str">
        <f xml:space="preserve"> IF(SUM(T34)&gt;0,(F43+E44)*10/11 + (G43 + F44)*9/11 + (H43+G44)*8/11 + (I43+H44)*7/11 + (J43+I44)*6/11 + (K43+J44)*5/11 + (L43+K44)*4/11 + (M43+L44)*3/11 + (N43+M44)*2/11 + (O43+N44)/11,"")</f>
        <v/>
      </c>
      <c r="T34" s="148" t="str">
        <f xml:space="preserve"> IF( (F43+E44)*10/121 + (G43+F44)*18/121  + (H43+G44)*24/121 + (I43+H44)*28/121 + (J43+I44)*30/121 + (K43+J44)*30/121 + (L43+K44)*28/121 + (M43+L44)*24/121 + (N43+M44)*18/121 + (O43+N44)*10/121 &gt; 0, (F43+E44)*10/121 + (G43+F44)*18/121  + (H43+G44)*24/121 + (I43+H44)*28/121 + (J43+I44)*30/121 + (K43+J44)*30/121 + (L43+K44)*28/121 + (M43+L44)*24/121 + (N43+M44)*18/121 + (O43+N44)*10/121,"")</f>
        <v/>
      </c>
      <c r="U34" s="61" t="str">
        <f>IF(SUM(T34)&gt;0,F43*2/121+G43*6/121+H43*12/121+I43*20/121+J43*30/121 +K43*42/121+L43*56/121+M43*72/121+N43*90/121+O43*110/121,"")</f>
        <v/>
      </c>
      <c r="V34" s="61" t="str">
        <f>IF(SUM(T34)&gt;0,(F43+F44)*9/121 + (G43+G44)*16/121 + (H43+H44)*21/121 + (I43+I44)*24/121 + (J43+J44)*25/121 + (K43+K44)*24/121 + (L43+L44)*21/121 + (M43+M44)*16/121 + (N43+N44)*9/121,"")</f>
        <v/>
      </c>
      <c r="W34" s="61" t="str">
        <f>IF(SUM(T34)&gt;0,N44*2/121+M44*6/121+L44*12/121+K44*20/121+J44*30/121 +I44*42/121+H44*56/121+G44*72/121+F44*90/121+E44*110/121,"")</f>
        <v/>
      </c>
      <c r="X34" s="14"/>
    </row>
    <row r="35" spans="1:24" ht="12" customHeight="1" x14ac:dyDescent="0.15">
      <c r="A35" s="239">
        <v>8</v>
      </c>
      <c r="B35" t="s">
        <v>102</v>
      </c>
      <c r="E35" s="11"/>
      <c r="F35" s="11"/>
      <c r="G35" s="11"/>
      <c r="H35" s="11"/>
      <c r="I35" s="11"/>
      <c r="J35" s="11"/>
      <c r="K35" s="11"/>
      <c r="L35" s="11"/>
      <c r="M35" s="11"/>
      <c r="O35" s="14" t="s">
        <v>40</v>
      </c>
      <c r="P35" s="61">
        <f t="shared" ref="P35:W35" si="0">SUM(P25:P34)</f>
        <v>6.5</v>
      </c>
      <c r="Q35" s="61">
        <f t="shared" si="0"/>
        <v>6</v>
      </c>
      <c r="R35" s="62">
        <f xml:space="preserve"> SUM(R25:R34)</f>
        <v>13</v>
      </c>
      <c r="S35" s="61">
        <f t="shared" si="0"/>
        <v>12.5</v>
      </c>
      <c r="T35" s="61">
        <f t="shared" si="0"/>
        <v>6.25</v>
      </c>
      <c r="U35" s="61">
        <f t="shared" si="0"/>
        <v>6.5</v>
      </c>
      <c r="V35" s="61">
        <f t="shared" si="0"/>
        <v>0</v>
      </c>
      <c r="W35" s="61">
        <f t="shared" si="0"/>
        <v>6</v>
      </c>
      <c r="X35" s="14"/>
    </row>
    <row r="36" spans="1:24" ht="12" customHeight="1" x14ac:dyDescent="0.15">
      <c r="A36" s="239"/>
      <c r="B36" t="s">
        <v>103</v>
      </c>
      <c r="E36" s="11"/>
      <c r="F36" s="11"/>
      <c r="G36" s="11"/>
      <c r="H36" s="11"/>
      <c r="I36" s="11"/>
      <c r="J36" s="11"/>
      <c r="K36" s="11"/>
      <c r="L36" s="11"/>
      <c r="M36" s="11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x14ac:dyDescent="0.15">
      <c r="O37" s="14"/>
      <c r="P37" s="14"/>
      <c r="Q37" s="14"/>
      <c r="R37" s="9" t="s">
        <v>109</v>
      </c>
      <c r="S37" s="9">
        <f xml:space="preserve"> IF(SUM(T35)&gt;0,(R35-S35)/SQRT(T35),"")</f>
        <v>0.2</v>
      </c>
      <c r="T37" s="9"/>
      <c r="U37" s="254" t="s">
        <v>110</v>
      </c>
      <c r="V37" s="254"/>
      <c r="W37" s="253">
        <f>IF(SUM(T35)&gt;0,IF(SUM(P35)*SUM(Q35)=0,"",U35/2/P35^2 +V35/2/P35/Q35 + W35/2/Q35^2),"")</f>
        <v>0.16025641025641024</v>
      </c>
      <c r="X37" s="253"/>
    </row>
    <row r="38" spans="1:24" x14ac:dyDescent="0.15">
      <c r="A38" s="53"/>
      <c r="E38" s="54">
        <v>9</v>
      </c>
      <c r="F38" s="54">
        <v>8</v>
      </c>
      <c r="G38" s="54">
        <v>7</v>
      </c>
      <c r="H38" s="54">
        <v>6</v>
      </c>
      <c r="I38" s="54">
        <v>5</v>
      </c>
      <c r="J38" s="54">
        <v>4</v>
      </c>
      <c r="K38" s="54">
        <v>3</v>
      </c>
      <c r="L38" s="54">
        <v>2</v>
      </c>
      <c r="M38" s="54">
        <v>1</v>
      </c>
      <c r="N38" s="54">
        <v>0</v>
      </c>
    </row>
    <row r="39" spans="1:24" x14ac:dyDescent="0.15">
      <c r="A39" s="239">
        <v>9</v>
      </c>
      <c r="B39" t="s">
        <v>102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24" x14ac:dyDescent="0.15">
      <c r="A40" s="239"/>
      <c r="B40" t="s">
        <v>103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2" spans="1:24" x14ac:dyDescent="0.15">
      <c r="A42" s="53"/>
      <c r="E42" s="54">
        <v>10</v>
      </c>
      <c r="F42" s="54">
        <v>9</v>
      </c>
      <c r="G42" s="54">
        <v>8</v>
      </c>
      <c r="H42" s="54">
        <v>7</v>
      </c>
      <c r="I42" s="54">
        <v>6</v>
      </c>
      <c r="J42" s="54">
        <v>5</v>
      </c>
      <c r="K42" s="54">
        <v>4</v>
      </c>
      <c r="L42" s="54">
        <v>3</v>
      </c>
      <c r="M42" s="54">
        <v>2</v>
      </c>
      <c r="N42" s="54">
        <v>1</v>
      </c>
      <c r="O42" s="54">
        <v>0</v>
      </c>
    </row>
    <row r="43" spans="1:24" x14ac:dyDescent="0.15">
      <c r="A43" s="239">
        <v>10</v>
      </c>
      <c r="B43" t="s">
        <v>102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24" x14ac:dyDescent="0.15">
      <c r="A44" s="239"/>
      <c r="B44" t="s">
        <v>103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7" spans="1:24" ht="14" thickBot="1" x14ac:dyDescent="0.2"/>
    <row r="48" spans="1:24" ht="14" thickTop="1" x14ac:dyDescent="0.15">
      <c r="A48" s="240" t="s">
        <v>111</v>
      </c>
      <c r="B48" s="241"/>
      <c r="C48" s="241"/>
      <c r="D48" s="241"/>
      <c r="E48" s="241"/>
      <c r="F48" s="242"/>
      <c r="H48" s="240" t="s">
        <v>112</v>
      </c>
      <c r="I48" s="241"/>
      <c r="J48" s="241"/>
      <c r="K48" s="241"/>
      <c r="L48" s="241"/>
      <c r="M48" s="242"/>
    </row>
    <row r="49" spans="1:13" x14ac:dyDescent="0.15">
      <c r="A49" s="133"/>
      <c r="C49" s="17"/>
      <c r="D49" s="136" t="s">
        <v>16</v>
      </c>
      <c r="E49" s="136" t="s">
        <v>41</v>
      </c>
      <c r="F49" s="57"/>
      <c r="H49" s="133"/>
      <c r="M49" s="57"/>
    </row>
    <row r="50" spans="1:13" x14ac:dyDescent="0.15">
      <c r="A50" s="244" t="s">
        <v>36</v>
      </c>
      <c r="B50" s="245"/>
      <c r="D50" s="137">
        <f xml:space="preserve"> IF(SUM(T35)&gt;0, E7 + F7 + SUM(E11:G11) + SUM(E15:H15) + SUM(E19:I19) + SUM(E23:J23) + SUM(E27:K27) + SUM(E31:L31) + SUM(E35:M35) + SUM(E39:N39) + SUM(E43:O43),"")</f>
        <v>30</v>
      </c>
      <c r="E50" s="137">
        <f xml:space="preserve"> IF(SUM(T35)&gt;0, E8 + F8 + SUM(E12:G12) + SUM(E16:H16) + SUM(E20:I20) + SUM(E24:J24) + SUM(E28:K28) + SUM(E32:L32) + SUM(E36:M36) + SUM(E40:N40) + SUM(E44:O44),"")</f>
        <v>34</v>
      </c>
      <c r="F50" s="153">
        <f>IF(SUM(D50,E50)=0,"",SUM(D50,E50))</f>
        <v>64</v>
      </c>
      <c r="H50" s="133"/>
      <c r="M50" s="57"/>
    </row>
    <row r="51" spans="1:13" x14ac:dyDescent="0.15">
      <c r="A51" s="246" t="s">
        <v>89</v>
      </c>
      <c r="B51" s="247"/>
      <c r="D51" s="137">
        <f>IF(SUM(T35)&gt;0,E7+E8+F11+F12+G15+G16+H19+H20+I23+I24+J27+J28+K31+K32+L35+L36+M39+M40+N43+N44+2*(E11+E12+F15+F16+G19+G20+H23+H24+I27+I28+J31+J32+K35+K36+L39+L40+M43+M44)+3*(E15+E16+F19+F20+G23+G24+H27+H28+I31+I32+J35+J36+K39+K40+L43+L44) + 4*(E19+E20+F23+F24+G27+G28+H31+H32+I35+I36+J39+J40+L43+L44) + 5*(E23+E24+F27+F28+G31+G32+H35+H36+I39+I40+J43+J44) + 6*(E27+E28+F31+F32+G35+G36+H39+H40+I43+I44) + 7*(E31+E32+F35+F36+G39+G40+H43+H44) +8*(E35+E36+F39+F40+G43+G44) +9*(E39+E40+F43+F44) +10*(E43+E44),"")</f>
        <v>29</v>
      </c>
      <c r="E51" s="137">
        <f>IF(SUM(T35)&gt;0,F7+F8+F11+F12+F15+F16+F19+F20+F23+F24+F27+F28+F31+F32+F35+F36+F39+F40+F43+F44 + 2*(G11+G12+G15+G16+G19+G20+G23+G24+G27+G28+G31+G32+G35+G36+G39+G40+G43+G44) + 3*(H15+H16+H19+H20+H23+H24+H27+H28+H31+H32+H35+H36+H39+H40+H43+H44) +  4*(I19+I20+I23+I24+I27+I28+I31+I32+I35+I36+I39+I40+I43+I44) + 5*(J23+J24+J27+J28+J31+J32+J35+J36+J39+J40+J43+J44) + 6*(K27+K28+K31+K32+K35+K36+K39+K40+K43+K44) + 7*(L31+L32+L35+L36+L39+L40+L43+L44) + 8*(M35+M36+M39+M40+M43+M44) + 9*(N39+N40+N43+N44) + 10*(O43+O44),"")</f>
        <v>35</v>
      </c>
      <c r="F51" s="153">
        <f>IF(SUM(D51,E51)=0,"",SUM(D51,E51))</f>
        <v>64</v>
      </c>
      <c r="H51" s="133"/>
      <c r="M51" s="57"/>
    </row>
    <row r="52" spans="1:13" x14ac:dyDescent="0.15">
      <c r="A52" s="248" t="s">
        <v>18</v>
      </c>
      <c r="B52" s="249"/>
      <c r="D52" s="151">
        <f>IF(SUM(D50,D51)=0,"",SUM(D50,D51))</f>
        <v>59</v>
      </c>
      <c r="E52" s="151">
        <f>IF(SUM(E50,E51)=0,"",SUM(E50,E51))</f>
        <v>69</v>
      </c>
      <c r="F52" s="152">
        <f>IF(SUM(D52,E52)=0,"",SUM(D52,E52))</f>
        <v>128</v>
      </c>
      <c r="H52" s="133"/>
      <c r="M52" s="57"/>
    </row>
    <row r="53" spans="1:13" x14ac:dyDescent="0.15">
      <c r="A53" s="56"/>
      <c r="B53" s="17"/>
      <c r="E53" s="14"/>
      <c r="F53" s="57"/>
      <c r="H53" s="133"/>
      <c r="M53" s="57"/>
    </row>
    <row r="54" spans="1:13" x14ac:dyDescent="0.15">
      <c r="A54" s="138" t="s">
        <v>94</v>
      </c>
      <c r="B54" s="17"/>
      <c r="D54" s="194">
        <f xml:space="preserve"> IF(SUM(T35)&gt;0,IF(SUM(D51*E50)=0,"infinity",D50*E51/D51/E50),"")</f>
        <v>1.0649087221095335</v>
      </c>
      <c r="E54" s="194"/>
      <c r="F54" s="58"/>
      <c r="H54" s="243" t="str">
        <f>IF(SUM(T35)&gt;0,"ORmh = ","")</f>
        <v xml:space="preserve">ORmh = </v>
      </c>
      <c r="I54" s="193"/>
      <c r="K54" s="194">
        <f xml:space="preserve"> IF(SUM(T35)&gt;0,IF(SUM(Q35)=0,"infinity",P35/Q35),"")</f>
        <v>1.0833333333333333</v>
      </c>
      <c r="L54" s="194"/>
      <c r="M54" s="149"/>
    </row>
    <row r="55" spans="1:13" x14ac:dyDescent="0.15">
      <c r="A55" s="231" t="s">
        <v>45</v>
      </c>
      <c r="B55" s="191"/>
      <c r="D55" s="72">
        <f>IF(SUM($D$54)&gt;0,EXP(LN($D$54)-1.645*SQRT(1/$D$50 + 1/$E$50 + 1/$D$51 + 1/ $E$51)),"")</f>
        <v>0.59418609453797455</v>
      </c>
      <c r="E55" s="72">
        <f>IF(SUM($D$54)&gt;0,EXP(LN($D$54)+1.645*SQRT(1/$D$50 + 1/$E$50 + 1/$D$51 + 1/ $E$51)),"")</f>
        <v>1.9085444725978578</v>
      </c>
      <c r="F55" s="135"/>
      <c r="H55" s="231" t="str">
        <f>IF(SUM(T35)&gt;0,"90% CI:","")</f>
        <v>90% CI:</v>
      </c>
      <c r="I55" s="191"/>
      <c r="J55" s="205">
        <f>IF(SUM($K$54)&gt;0,EXP(LN($K$54)-1.645*SQRT($W$37)),"")</f>
        <v>0.56074763405042383</v>
      </c>
      <c r="K55" s="205"/>
      <c r="L55" s="205">
        <f>IF(SUM($K$54)&gt;0,EXP(LN($K$54) + 1.645*SQRT($W$37)),"")</f>
        <v>2.0929399249245466</v>
      </c>
      <c r="M55" s="236"/>
    </row>
    <row r="56" spans="1:13" x14ac:dyDescent="0.15">
      <c r="A56" s="232" t="s">
        <v>47</v>
      </c>
      <c r="B56" s="206"/>
      <c r="D56" s="65">
        <f>IF(SUM($D$54)&gt;0,EXP(LN($D$54)-1.96*SQRT(1/$D$50 + 1/$E$50 + 1/$D$51 + 1/ $E$51)),"")</f>
        <v>0.53137487248326765</v>
      </c>
      <c r="E56" s="65">
        <f>IF(SUM($D$54)&gt;0,EXP(LN($D$54)+1.96*SQRT(1/$D$50 + 1/$E$50 + 1/$D$51 + 1/ $E$51)),"")</f>
        <v>2.1341441704334048</v>
      </c>
      <c r="F56" s="67"/>
      <c r="H56" s="232" t="str">
        <f>IF(SUM(T35)&gt;0,"95% CI:","")</f>
        <v>95% CI:</v>
      </c>
      <c r="I56" s="206"/>
      <c r="J56" s="194">
        <f>IF(SUM($K$54)&gt;0,EXP(LN($K$54)-1.96*SQRT($W$37)),"")</f>
        <v>0.49431355028226281</v>
      </c>
      <c r="K56" s="194"/>
      <c r="L56" s="194">
        <f>IF(SUM($K$54)&gt;0,EXP(LN($K$54) + 1.96*SQRT($W$37)),"")</f>
        <v>2.3742240333912674</v>
      </c>
      <c r="M56" s="237"/>
    </row>
    <row r="57" spans="1:13" x14ac:dyDescent="0.15">
      <c r="A57" s="231" t="s">
        <v>48</v>
      </c>
      <c r="B57" s="191"/>
      <c r="D57" s="72">
        <f>IF(SUM($D$54)&gt;0,EXP(LN($D$54)-2.575*SQRT(1/$D$50 + 1/$E$50 + 1/$D$51 + 1/ $E$51)),"")</f>
        <v>0.42723676648919218</v>
      </c>
      <c r="E57" s="72">
        <f>IF(SUM($D$54)&gt;0,EXP(LN($D$54)+2.575*SQRT(1/$D$50 + 1/$E$50 + 1/$D$51 + 1/ $E$51)),"")</f>
        <v>2.654337536874058</v>
      </c>
      <c r="F57" s="135"/>
      <c r="H57" s="231" t="str">
        <f>IF(SUM(T35)&gt;0,"99% CI:","")</f>
        <v>99% CI:</v>
      </c>
      <c r="I57" s="191"/>
      <c r="J57" s="205">
        <f>IF(SUM($K$54)&gt;0,EXP(LN($K$54)-2.575*SQRT($W$37)),"")</f>
        <v>0.38643860104572292</v>
      </c>
      <c r="K57" s="205"/>
      <c r="L57" s="205">
        <f>IF(SUM($K$54)&gt;0,EXP(LN($K$54)+2.575*SQRT($W$37)),"")</f>
        <v>3.0369924431339372</v>
      </c>
      <c r="M57" s="236"/>
    </row>
    <row r="58" spans="1:13" x14ac:dyDescent="0.15">
      <c r="A58" s="139"/>
      <c r="B58" s="14"/>
      <c r="D58" s="14"/>
      <c r="F58" s="58"/>
      <c r="H58" s="56"/>
      <c r="I58" s="17"/>
      <c r="J58" s="17"/>
      <c r="K58" s="17"/>
      <c r="L58" s="17"/>
      <c r="M58" s="149"/>
    </row>
    <row r="59" spans="1:13" x14ac:dyDescent="0.15">
      <c r="A59" s="116" t="s">
        <v>54</v>
      </c>
      <c r="B59" s="32"/>
      <c r="D59" s="14"/>
      <c r="F59" s="58"/>
      <c r="H59" s="56" t="s">
        <v>57</v>
      </c>
      <c r="I59" s="185"/>
      <c r="J59" s="23"/>
      <c r="K59" s="59"/>
      <c r="L59" s="59"/>
      <c r="M59" s="149"/>
    </row>
    <row r="60" spans="1:13" x14ac:dyDescent="0.15">
      <c r="A60" s="231" t="s">
        <v>55</v>
      </c>
      <c r="B60" s="191"/>
      <c r="D60" s="96">
        <f>IF(D54&lt;&gt;"",(D50-F50*D52/F52)^2 / (F50*F51*D52*E52/(F52^2*(F52-1))),"")</f>
        <v>3.1196266273642838E-2</v>
      </c>
      <c r="F60" s="57"/>
      <c r="G60" s="14"/>
      <c r="H60" s="231" t="s">
        <v>55</v>
      </c>
      <c r="I60" s="191"/>
      <c r="K60" s="96">
        <f>IF(K54&lt;&gt;"",(R35-S35)^2/T35,"")</f>
        <v>0.04</v>
      </c>
      <c r="M60" s="57"/>
    </row>
    <row r="61" spans="1:13" x14ac:dyDescent="0.15">
      <c r="A61" s="231" t="s">
        <v>56</v>
      </c>
      <c r="B61" s="191"/>
      <c r="D61" s="24">
        <f>IF(D54&lt;&gt;"",1,"")</f>
        <v>1</v>
      </c>
      <c r="F61" s="57"/>
      <c r="G61" s="14"/>
      <c r="H61" s="231" t="s">
        <v>56</v>
      </c>
      <c r="I61" s="191"/>
      <c r="K61" s="24">
        <f>IF(K54&lt;&gt;"",1,"")</f>
        <v>1</v>
      </c>
      <c r="M61" s="57"/>
    </row>
    <row r="62" spans="1:13" x14ac:dyDescent="0.15">
      <c r="A62" s="232" t="s">
        <v>58</v>
      </c>
      <c r="B62" s="206"/>
      <c r="D62" s="115">
        <f>IF(D54&lt;&gt;"",IF(CHIDIST(D60,D61)&lt;0.0001,"&lt;0.0001",CHIDIST(D60,D61)),"")</f>
        <v>0.85980323217726984</v>
      </c>
      <c r="F62" s="57"/>
      <c r="H62" s="232" t="s">
        <v>58</v>
      </c>
      <c r="I62" s="206"/>
      <c r="K62" s="65">
        <f>IF(K54&lt;&gt;"",CHIDIST(K60,K61),"")</f>
        <v>0.84148058112179391</v>
      </c>
      <c r="M62" s="57"/>
    </row>
    <row r="63" spans="1:13" ht="14" thickBot="1" x14ac:dyDescent="0.2">
      <c r="A63" s="140"/>
      <c r="B63" s="141"/>
      <c r="C63" s="141"/>
      <c r="D63" s="141"/>
      <c r="E63" s="142"/>
      <c r="F63" s="143"/>
      <c r="H63" s="150"/>
      <c r="I63" s="142"/>
      <c r="J63" s="142"/>
      <c r="K63" s="142"/>
      <c r="L63" s="142"/>
      <c r="M63" s="143"/>
    </row>
    <row r="64" spans="1:13" ht="14" thickTop="1" x14ac:dyDescent="0.15">
      <c r="A64" s="14"/>
      <c r="B64" s="14"/>
      <c r="C64" s="14"/>
      <c r="D64" s="14"/>
    </row>
    <row r="65" spans="1:4" x14ac:dyDescent="0.15">
      <c r="A65" s="14"/>
      <c r="B65" s="14"/>
      <c r="C65" s="14"/>
      <c r="D65" s="14"/>
    </row>
    <row r="66" spans="1:4" x14ac:dyDescent="0.15">
      <c r="A66" s="14"/>
      <c r="B66" s="14"/>
      <c r="C66" s="14"/>
      <c r="D66" s="14"/>
    </row>
    <row r="67" spans="1:4" x14ac:dyDescent="0.15">
      <c r="A67" s="14"/>
      <c r="B67" s="14"/>
      <c r="C67" s="14"/>
      <c r="D67" s="14"/>
    </row>
    <row r="68" spans="1:4" x14ac:dyDescent="0.15">
      <c r="A68" s="14"/>
      <c r="B68" s="14"/>
      <c r="C68" s="14"/>
      <c r="D68" s="14"/>
    </row>
    <row r="69" spans="1:4" x14ac:dyDescent="0.15">
      <c r="A69" s="14"/>
      <c r="B69" s="14"/>
      <c r="C69" s="14"/>
      <c r="D69" s="14"/>
    </row>
    <row r="70" spans="1:4" x14ac:dyDescent="0.15">
      <c r="A70" s="14"/>
      <c r="B70" s="14"/>
      <c r="C70" s="14"/>
      <c r="D70" s="14"/>
    </row>
    <row r="71" spans="1:4" x14ac:dyDescent="0.15">
      <c r="A71" s="14"/>
      <c r="B71" s="14"/>
      <c r="C71" s="14"/>
      <c r="D71" s="14"/>
    </row>
    <row r="72" spans="1:4" x14ac:dyDescent="0.15">
      <c r="A72" s="14"/>
      <c r="B72" s="14"/>
      <c r="C72" s="14"/>
      <c r="D72" s="14"/>
    </row>
    <row r="73" spans="1:4" x14ac:dyDescent="0.15">
      <c r="A73" s="14"/>
      <c r="B73" s="14"/>
      <c r="C73" s="14"/>
      <c r="D73" s="14"/>
    </row>
    <row r="74" spans="1:4" x14ac:dyDescent="0.15">
      <c r="A74" s="14"/>
      <c r="B74" s="14"/>
      <c r="C74" s="14"/>
      <c r="D74" s="14"/>
    </row>
    <row r="75" spans="1:4" x14ac:dyDescent="0.15">
      <c r="A75" s="14"/>
      <c r="B75" s="14"/>
      <c r="C75" s="14"/>
      <c r="D75" s="14"/>
    </row>
    <row r="76" spans="1:4" x14ac:dyDescent="0.15">
      <c r="A76" s="14"/>
      <c r="B76" s="14"/>
      <c r="C76" s="14"/>
      <c r="D76" s="14"/>
    </row>
    <row r="77" spans="1:4" x14ac:dyDescent="0.15">
      <c r="A77" s="14"/>
      <c r="B77" s="14"/>
      <c r="C77" s="14"/>
      <c r="D77" s="14"/>
    </row>
    <row r="78" spans="1:4" x14ac:dyDescent="0.15">
      <c r="A78" s="14"/>
      <c r="B78" s="14"/>
      <c r="C78" s="14"/>
      <c r="D78" s="14"/>
    </row>
    <row r="79" spans="1:4" x14ac:dyDescent="0.15">
      <c r="A79" s="14"/>
      <c r="B79" s="14"/>
      <c r="C79" s="14"/>
      <c r="D79" s="14"/>
    </row>
    <row r="80" spans="1:4" x14ac:dyDescent="0.15">
      <c r="A80" s="14"/>
      <c r="B80" s="14"/>
      <c r="C80" s="14"/>
      <c r="D80" s="14"/>
    </row>
    <row r="81" spans="1:4" x14ac:dyDescent="0.15">
      <c r="A81" s="14"/>
      <c r="B81" s="14"/>
      <c r="C81" s="14"/>
      <c r="D81" s="14"/>
    </row>
    <row r="82" spans="1:4" x14ac:dyDescent="0.15">
      <c r="A82" s="14"/>
      <c r="B82" s="14"/>
      <c r="C82" s="14"/>
      <c r="D82" s="14"/>
    </row>
    <row r="83" spans="1:4" x14ac:dyDescent="0.15">
      <c r="A83" s="14"/>
      <c r="B83" s="14"/>
      <c r="C83" s="14"/>
      <c r="D83" s="14"/>
    </row>
    <row r="84" spans="1:4" x14ac:dyDescent="0.15">
      <c r="A84" s="14"/>
      <c r="B84" s="14"/>
      <c r="C84" s="14"/>
      <c r="D84" s="14"/>
    </row>
    <row r="85" spans="1:4" x14ac:dyDescent="0.15">
      <c r="A85" s="14"/>
      <c r="B85" s="14"/>
      <c r="C85" s="14"/>
      <c r="D85" s="14"/>
    </row>
    <row r="86" spans="1:4" x14ac:dyDescent="0.15">
      <c r="A86" s="14"/>
      <c r="B86" s="14"/>
      <c r="C86" s="14"/>
      <c r="D86" s="14"/>
    </row>
    <row r="87" spans="1:4" x14ac:dyDescent="0.15">
      <c r="A87" s="14"/>
      <c r="B87" s="14"/>
      <c r="C87" s="14"/>
      <c r="D87" s="14"/>
    </row>
    <row r="88" spans="1:4" x14ac:dyDescent="0.15">
      <c r="A88" s="14"/>
      <c r="B88" s="14"/>
      <c r="C88" s="14"/>
      <c r="D88" s="14"/>
    </row>
    <row r="89" spans="1:4" x14ac:dyDescent="0.15">
      <c r="A89" s="14"/>
      <c r="B89" s="14"/>
      <c r="C89" s="14"/>
      <c r="D89" s="14"/>
    </row>
    <row r="90" spans="1:4" x14ac:dyDescent="0.15">
      <c r="A90" s="14"/>
      <c r="B90" s="14"/>
      <c r="C90" s="14"/>
      <c r="D90" s="14"/>
    </row>
    <row r="91" spans="1:4" x14ac:dyDescent="0.15">
      <c r="A91" s="14"/>
      <c r="B91" s="14"/>
      <c r="C91" s="14"/>
      <c r="D91" s="14"/>
    </row>
    <row r="92" spans="1:4" x14ac:dyDescent="0.15">
      <c r="A92" s="14"/>
      <c r="B92" s="14"/>
      <c r="C92" s="14"/>
      <c r="D92" s="14"/>
    </row>
    <row r="93" spans="1:4" x14ac:dyDescent="0.15">
      <c r="A93" s="14"/>
      <c r="B93" s="14"/>
      <c r="C93" s="14"/>
      <c r="D93" s="14"/>
    </row>
    <row r="94" spans="1:4" x14ac:dyDescent="0.15">
      <c r="A94" s="14"/>
      <c r="B94" s="14"/>
      <c r="C94" s="14"/>
      <c r="D94" s="14"/>
    </row>
    <row r="95" spans="1:4" x14ac:dyDescent="0.15">
      <c r="A95" s="14"/>
      <c r="B95" s="14"/>
      <c r="C95" s="14"/>
      <c r="D95" s="14"/>
    </row>
    <row r="96" spans="1:4" x14ac:dyDescent="0.15">
      <c r="A96" s="14"/>
      <c r="B96" s="14"/>
      <c r="C96" s="14"/>
      <c r="D96" s="14"/>
    </row>
    <row r="97" spans="1:4" x14ac:dyDescent="0.15">
      <c r="A97" s="14"/>
      <c r="B97" s="14"/>
      <c r="C97" s="14"/>
      <c r="D97" s="14"/>
    </row>
    <row r="98" spans="1:4" x14ac:dyDescent="0.15">
      <c r="A98" s="14"/>
      <c r="B98" s="14"/>
      <c r="C98" s="14"/>
      <c r="D98" s="14"/>
    </row>
    <row r="99" spans="1:4" x14ac:dyDescent="0.15">
      <c r="A99" s="14"/>
      <c r="B99" s="14"/>
      <c r="C99" s="14"/>
      <c r="D99" s="14"/>
    </row>
    <row r="100" spans="1:4" x14ac:dyDescent="0.15">
      <c r="A100" s="14"/>
      <c r="B100" s="14"/>
      <c r="C100" s="14"/>
      <c r="D100" s="14"/>
    </row>
    <row r="101" spans="1:4" x14ac:dyDescent="0.15">
      <c r="A101" s="14"/>
      <c r="B101" s="14"/>
      <c r="C101" s="14"/>
      <c r="D101" s="14"/>
    </row>
    <row r="102" spans="1:4" x14ac:dyDescent="0.15">
      <c r="A102" s="14"/>
      <c r="B102" s="14"/>
      <c r="C102" s="14"/>
      <c r="D102" s="14"/>
    </row>
    <row r="103" spans="1:4" x14ac:dyDescent="0.15">
      <c r="A103" s="14"/>
      <c r="B103" s="14"/>
      <c r="C103" s="14"/>
      <c r="D103" s="14"/>
    </row>
    <row r="104" spans="1:4" x14ac:dyDescent="0.15">
      <c r="A104" s="14"/>
      <c r="B104" s="14"/>
      <c r="C104" s="14"/>
      <c r="D104" s="14"/>
    </row>
    <row r="105" spans="1:4" x14ac:dyDescent="0.15">
      <c r="A105" s="14"/>
      <c r="B105" s="14"/>
      <c r="C105" s="14"/>
      <c r="D105" s="14"/>
    </row>
    <row r="106" spans="1:4" x14ac:dyDescent="0.15">
      <c r="A106" s="14"/>
      <c r="B106" s="14"/>
      <c r="C106" s="14"/>
      <c r="D106" s="14"/>
    </row>
    <row r="107" spans="1:4" x14ac:dyDescent="0.15">
      <c r="A107" s="14"/>
      <c r="B107" s="14"/>
      <c r="C107" s="14"/>
      <c r="D107" s="14"/>
    </row>
    <row r="108" spans="1:4" x14ac:dyDescent="0.15">
      <c r="A108" s="14"/>
      <c r="B108" s="14"/>
      <c r="C108" s="14"/>
      <c r="D108" s="14"/>
    </row>
    <row r="109" spans="1:4" x14ac:dyDescent="0.15">
      <c r="A109" s="14"/>
      <c r="B109" s="14"/>
      <c r="C109" s="14"/>
      <c r="D109" s="14"/>
    </row>
    <row r="110" spans="1:4" x14ac:dyDescent="0.15">
      <c r="A110" s="14"/>
      <c r="B110" s="14"/>
      <c r="C110" s="14"/>
      <c r="D110" s="14"/>
    </row>
    <row r="111" spans="1:4" x14ac:dyDescent="0.15">
      <c r="A111" s="14"/>
      <c r="B111" s="14"/>
      <c r="C111" s="14"/>
      <c r="D111" s="14"/>
    </row>
    <row r="112" spans="1:4" x14ac:dyDescent="0.15">
      <c r="A112" s="14"/>
      <c r="B112" s="14"/>
      <c r="C112" s="14"/>
      <c r="D112" s="14"/>
    </row>
    <row r="113" spans="1:4" x14ac:dyDescent="0.15">
      <c r="A113" s="14"/>
      <c r="B113" s="14"/>
      <c r="C113" s="14"/>
      <c r="D113" s="14"/>
    </row>
    <row r="114" spans="1:4" x14ac:dyDescent="0.15">
      <c r="A114" s="14"/>
      <c r="B114" s="14"/>
      <c r="C114" s="14"/>
      <c r="D114" s="14"/>
    </row>
    <row r="115" spans="1:4" x14ac:dyDescent="0.15">
      <c r="A115" s="14"/>
      <c r="B115" s="14"/>
      <c r="C115" s="14"/>
      <c r="D115" s="14"/>
    </row>
    <row r="116" spans="1:4" x14ac:dyDescent="0.15">
      <c r="B116" s="14"/>
      <c r="C116" s="14"/>
      <c r="D116" s="14"/>
    </row>
  </sheetData>
  <sheetProtection sheet="1" objects="1" scenarios="1"/>
  <mergeCells count="47">
    <mergeCell ref="A52:B52"/>
    <mergeCell ref="Y21:Y24"/>
    <mergeCell ref="P22:P24"/>
    <mergeCell ref="Q22:Q24"/>
    <mergeCell ref="U21:U24"/>
    <mergeCell ref="V21:V24"/>
    <mergeCell ref="W21:W24"/>
    <mergeCell ref="R23:T23"/>
    <mergeCell ref="U37:V37"/>
    <mergeCell ref="W37:X37"/>
    <mergeCell ref="A39:A40"/>
    <mergeCell ref="A43:A44"/>
    <mergeCell ref="X21:X24"/>
    <mergeCell ref="E5:F5"/>
    <mergeCell ref="A7:A8"/>
    <mergeCell ref="A48:F48"/>
    <mergeCell ref="A23:A24"/>
    <mergeCell ref="K54:L54"/>
    <mergeCell ref="H48:M48"/>
    <mergeCell ref="H54:I54"/>
    <mergeCell ref="A11:A12"/>
    <mergeCell ref="D54:E54"/>
    <mergeCell ref="A15:A16"/>
    <mergeCell ref="A19:A20"/>
    <mergeCell ref="A27:A28"/>
    <mergeCell ref="A31:A32"/>
    <mergeCell ref="A35:A36"/>
    <mergeCell ref="A50:B50"/>
    <mergeCell ref="A51:B51"/>
    <mergeCell ref="A61:B61"/>
    <mergeCell ref="A62:B62"/>
    <mergeCell ref="H55:I55"/>
    <mergeCell ref="H56:I56"/>
    <mergeCell ref="H57:I57"/>
    <mergeCell ref="A55:B55"/>
    <mergeCell ref="A56:B56"/>
    <mergeCell ref="A57:B57"/>
    <mergeCell ref="A60:B60"/>
    <mergeCell ref="H61:I61"/>
    <mergeCell ref="H62:I62"/>
    <mergeCell ref="H60:I60"/>
    <mergeCell ref="L57:M57"/>
    <mergeCell ref="L56:M56"/>
    <mergeCell ref="J56:K56"/>
    <mergeCell ref="J57:K57"/>
    <mergeCell ref="L55:M55"/>
    <mergeCell ref="J55:K55"/>
  </mergeCells>
  <phoneticPr fontId="0" type="noConversion"/>
  <dataValidations count="1">
    <dataValidation type="whole" operator="greaterThanOrEqual" allowBlank="1" showInputMessage="1" showErrorMessage="1" error="Number of matched sets must be non-negative" promptTitle="Enter:" prompt="Number of matched sets" sqref="E43:O44 E11:G12 E39:N40 E35:M36 E31:L32 E27:K28 E23:J24 E19:I20 E15:H16 E7:F8" xr:uid="{00000000-0002-0000-0500-000000000000}">
      <formula1>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Menu</vt:lpstr>
      <vt:lpstr>Roadmap</vt:lpstr>
      <vt:lpstr>Cumulative Incidence Data</vt:lpstr>
      <vt:lpstr>Rate Data</vt:lpstr>
      <vt:lpstr>Case-Control Data</vt:lpstr>
      <vt:lpstr>Matched Case-Control Data</vt:lpstr>
    </vt:vector>
  </TitlesOfParts>
  <Manager/>
  <Company>HSPH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 Lab</dc:creator>
  <cp:keywords/>
  <dc:description/>
  <cp:lastModifiedBy>Liang Yizhi</cp:lastModifiedBy>
  <cp:revision/>
  <dcterms:created xsi:type="dcterms:W3CDTF">2005-08-16T14:33:54Z</dcterms:created>
  <dcterms:modified xsi:type="dcterms:W3CDTF">2022-11-22T01:18:21Z</dcterms:modified>
  <cp:category/>
  <cp:contentStatus/>
</cp:coreProperties>
</file>