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uaShan30m\record_work\"/>
    </mc:Choice>
  </mc:AlternateContent>
  <bookViews>
    <workbookView xWindow="0" yWindow="0" windowWidth="23040" windowHeight="9360" activeTab="1"/>
  </bookViews>
  <sheets>
    <sheet name="ksn分界点_初始版本" sheetId="1" r:id="rId1"/>
    <sheet name="Sheet1" sheetId="2" r:id="rId2"/>
    <sheet name="Sheet2" sheetId="5" r:id="rId3"/>
    <sheet name="Sheet3" sheetId="4" r:id="rId4"/>
  </sheets>
  <definedNames>
    <definedName name="_xlnm.Database">ksn分界点_初始版本!$A$1:$N$66</definedName>
  </definedNames>
  <calcPr calcId="152511"/>
</workbook>
</file>

<file path=xl/calcChain.xml><?xml version="1.0" encoding="utf-8"?>
<calcChain xmlns="http://schemas.openxmlformats.org/spreadsheetml/2006/main">
  <c r="T4" i="2" l="1"/>
  <c r="T6" i="2"/>
  <c r="T2" i="2"/>
  <c r="AF2" i="5" l="1"/>
  <c r="AE2" i="5"/>
  <c r="S24" i="5" l="1"/>
  <c r="R24" i="5"/>
  <c r="S23" i="5"/>
  <c r="R23" i="5"/>
  <c r="S4" i="5"/>
  <c r="S5" i="5"/>
  <c r="S6" i="5"/>
  <c r="S9" i="5"/>
  <c r="S10" i="5"/>
  <c r="S13" i="5"/>
  <c r="S14" i="5"/>
  <c r="S15" i="5"/>
  <c r="S17" i="5"/>
  <c r="S18" i="5"/>
  <c r="S19" i="5"/>
  <c r="S20" i="5"/>
  <c r="S21" i="5"/>
  <c r="S22" i="5"/>
  <c r="S2" i="5"/>
  <c r="AD23" i="5" l="1"/>
  <c r="AD24" i="5" l="1"/>
  <c r="AD4" i="5"/>
  <c r="AD5" i="5"/>
  <c r="AD6" i="5"/>
  <c r="AD9" i="5"/>
  <c r="AD10" i="5"/>
  <c r="AD13" i="5"/>
  <c r="AD14" i="5"/>
  <c r="AD15" i="5"/>
  <c r="AD17" i="5"/>
  <c r="AD18" i="5"/>
  <c r="AD19" i="5"/>
  <c r="AD20" i="5"/>
  <c r="AD21" i="5"/>
  <c r="AD22" i="5"/>
  <c r="AD2" i="5"/>
  <c r="AE9" i="5"/>
  <c r="AG24" i="5"/>
  <c r="AG23" i="5"/>
  <c r="AF24" i="5"/>
  <c r="AF23" i="5"/>
  <c r="AH4" i="5"/>
  <c r="Y4" i="5"/>
  <c r="W4" i="5"/>
  <c r="AC4" i="5"/>
  <c r="AC17" i="5"/>
  <c r="W19" i="5"/>
  <c r="W20" i="5"/>
  <c r="AC19" i="5"/>
  <c r="AC20" i="5"/>
  <c r="AH17" i="5"/>
  <c r="AH19" i="5"/>
  <c r="AH20" i="5"/>
  <c r="V23" i="5"/>
  <c r="V24" i="5"/>
  <c r="Y24" i="5"/>
  <c r="Y23" i="5"/>
  <c r="Y2" i="5"/>
  <c r="AH5" i="5"/>
  <c r="AH6" i="5"/>
  <c r="AH9" i="5"/>
  <c r="AH10" i="5"/>
  <c r="AH13" i="5"/>
  <c r="AH14" i="5"/>
  <c r="AH15" i="5"/>
  <c r="AH18" i="5"/>
  <c r="AH21" i="5"/>
  <c r="AH22" i="5"/>
  <c r="AH2" i="5"/>
  <c r="Q4" i="5"/>
  <c r="Q5" i="5"/>
  <c r="Q6" i="5"/>
  <c r="Q9" i="5"/>
  <c r="Q10" i="5"/>
  <c r="Q13" i="5"/>
  <c r="Q23" i="5" s="1"/>
  <c r="Q14" i="5"/>
  <c r="Q15" i="5"/>
  <c r="Q17" i="5"/>
  <c r="Q18" i="5"/>
  <c r="Q19" i="5"/>
  <c r="Q20" i="5"/>
  <c r="Q21" i="5"/>
  <c r="Q22" i="5"/>
  <c r="Q2" i="5"/>
  <c r="R2" i="5"/>
  <c r="T22" i="5"/>
  <c r="T21" i="5"/>
  <c r="T20" i="5"/>
  <c r="T19" i="5"/>
  <c r="T18" i="5"/>
  <c r="T17" i="5"/>
  <c r="T15" i="5"/>
  <c r="T14" i="5"/>
  <c r="T13" i="5"/>
  <c r="T10" i="5"/>
  <c r="T9" i="5"/>
  <c r="T6" i="5"/>
  <c r="T5" i="5"/>
  <c r="T4" i="5"/>
  <c r="T2" i="5"/>
  <c r="U2" i="5"/>
  <c r="R4" i="5"/>
  <c r="R5" i="5"/>
  <c r="R6" i="5"/>
  <c r="R9" i="5"/>
  <c r="R10" i="5"/>
  <c r="R13" i="5"/>
  <c r="R14" i="5"/>
  <c r="R15" i="5"/>
  <c r="R17" i="5"/>
  <c r="R18" i="5"/>
  <c r="R19" i="5"/>
  <c r="R20" i="5"/>
  <c r="R21" i="5"/>
  <c r="R22" i="5"/>
  <c r="U22" i="5"/>
  <c r="U21" i="5"/>
  <c r="U20" i="5"/>
  <c r="U19" i="5"/>
  <c r="U18" i="5"/>
  <c r="U17" i="5"/>
  <c r="U15" i="5"/>
  <c r="U14" i="5"/>
  <c r="U13" i="5"/>
  <c r="U10" i="5"/>
  <c r="U9" i="5"/>
  <c r="U6" i="5"/>
  <c r="U5" i="5"/>
  <c r="U4" i="5"/>
  <c r="Q24" i="5" l="1"/>
  <c r="AG2" i="5"/>
  <c r="AF4" i="5"/>
  <c r="AF17" i="5"/>
  <c r="AG17" i="5"/>
  <c r="AF19" i="5"/>
  <c r="AF20" i="5"/>
  <c r="AE17" i="5" l="1"/>
  <c r="AA2" i="5"/>
  <c r="AI2" i="5"/>
  <c r="AQ2" i="5"/>
  <c r="AQ17" i="5"/>
  <c r="AN17" i="5"/>
  <c r="AN2" i="5"/>
  <c r="AM17" i="5"/>
  <c r="AM2" i="5"/>
  <c r="AL2" i="5"/>
  <c r="AJ17" i="5"/>
  <c r="AK17" i="5"/>
  <c r="AL17" i="5"/>
  <c r="AK2" i="5"/>
  <c r="AJ2" i="5"/>
  <c r="AR2" i="5" s="1"/>
  <c r="AC23" i="5" l="1"/>
  <c r="AC22" i="5"/>
  <c r="AB22" i="5"/>
  <c r="AA22" i="5"/>
  <c r="Z22" i="5"/>
  <c r="Y22" i="5"/>
  <c r="X22" i="5"/>
  <c r="W22" i="5"/>
  <c r="AC21" i="5"/>
  <c r="AB21" i="5"/>
  <c r="AA21" i="5"/>
  <c r="Z21" i="5"/>
  <c r="Y21" i="5"/>
  <c r="X21" i="5"/>
  <c r="AG21" i="5" s="1"/>
  <c r="W21" i="5"/>
  <c r="AB20" i="5"/>
  <c r="AA20" i="5"/>
  <c r="Z20" i="5"/>
  <c r="Y20" i="5"/>
  <c r="X20" i="5"/>
  <c r="AB19" i="5"/>
  <c r="AA19" i="5"/>
  <c r="Z19" i="5"/>
  <c r="Y19" i="5"/>
  <c r="X19" i="5"/>
  <c r="AC18" i="5"/>
  <c r="AB18" i="5"/>
  <c r="AA18" i="5"/>
  <c r="Z18" i="5"/>
  <c r="Y18" i="5"/>
  <c r="X18" i="5"/>
  <c r="AG18" i="5" s="1"/>
  <c r="W18" i="5"/>
  <c r="AI17" i="5"/>
  <c r="AB17" i="5"/>
  <c r="AA17" i="5"/>
  <c r="Z17" i="5"/>
  <c r="Y17" i="5"/>
  <c r="AC15" i="5"/>
  <c r="AB15" i="5"/>
  <c r="AA15" i="5"/>
  <c r="Z15" i="5"/>
  <c r="Y15" i="5"/>
  <c r="X15" i="5"/>
  <c r="AG15" i="5" s="1"/>
  <c r="W15" i="5"/>
  <c r="AC14" i="5"/>
  <c r="AB14" i="5"/>
  <c r="AA14" i="5"/>
  <c r="Z14" i="5"/>
  <c r="Y14" i="5"/>
  <c r="X14" i="5"/>
  <c r="AG14" i="5" s="1"/>
  <c r="W14" i="5"/>
  <c r="AI13" i="5"/>
  <c r="AO13" i="5" s="1"/>
  <c r="AC13" i="5"/>
  <c r="AB13" i="5"/>
  <c r="AA13" i="5"/>
  <c r="Z13" i="5"/>
  <c r="Y13" i="5"/>
  <c r="X13" i="5"/>
  <c r="AG13" i="5" s="1"/>
  <c r="W13" i="5"/>
  <c r="AC10" i="5"/>
  <c r="AB10" i="5"/>
  <c r="AA10" i="5"/>
  <c r="Z10" i="5"/>
  <c r="Y10" i="5"/>
  <c r="X10" i="5"/>
  <c r="AG10" i="5" s="1"/>
  <c r="W10" i="5"/>
  <c r="AC9" i="5"/>
  <c r="AB9" i="5"/>
  <c r="AA9" i="5"/>
  <c r="Z9" i="5"/>
  <c r="Y9" i="5"/>
  <c r="X9" i="5"/>
  <c r="AG9" i="5" s="1"/>
  <c r="W9" i="5"/>
  <c r="AH25" i="5"/>
  <c r="AC6" i="5"/>
  <c r="AB6" i="5"/>
  <c r="AA6" i="5"/>
  <c r="Z6" i="5"/>
  <c r="Y6" i="5"/>
  <c r="X6" i="5"/>
  <c r="W6" i="5"/>
  <c r="AC5" i="5"/>
  <c r="AB5" i="5"/>
  <c r="AR5" i="5" s="1"/>
  <c r="AA5" i="5"/>
  <c r="Z5" i="5"/>
  <c r="AP5" i="5" s="1"/>
  <c r="Y5" i="5"/>
  <c r="X5" i="5"/>
  <c r="AG5" i="5" s="1"/>
  <c r="W5" i="5"/>
  <c r="AB4" i="5"/>
  <c r="AA4" i="5"/>
  <c r="Z4" i="5"/>
  <c r="X4" i="5"/>
  <c r="AC2" i="5"/>
  <c r="AP2" i="5" s="1"/>
  <c r="AB2" i="5"/>
  <c r="AO2" i="5" s="1"/>
  <c r="Z2" i="5"/>
  <c r="X25" i="2"/>
  <c r="X23" i="2"/>
  <c r="Y23" i="2"/>
  <c r="X24" i="2"/>
  <c r="Q23" i="2"/>
  <c r="X22" i="2"/>
  <c r="X21" i="2"/>
  <c r="X20" i="2"/>
  <c r="X19" i="2"/>
  <c r="X18" i="2"/>
  <c r="X15" i="2"/>
  <c r="X14" i="2"/>
  <c r="X13" i="2"/>
  <c r="X10" i="2"/>
  <c r="X9" i="2"/>
  <c r="X6" i="2"/>
  <c r="X5" i="2"/>
  <c r="X17" i="2"/>
  <c r="X4" i="2"/>
  <c r="X2" i="2"/>
  <c r="Q24" i="2"/>
  <c r="W25" i="2"/>
  <c r="Z23" i="2"/>
  <c r="AB23" i="2"/>
  <c r="AA23" i="2"/>
  <c r="AC23" i="2"/>
  <c r="AD23" i="2"/>
  <c r="AF23" i="2"/>
  <c r="AG23" i="2"/>
  <c r="S4" i="2"/>
  <c r="S23" i="2" s="1"/>
  <c r="Y4" i="2"/>
  <c r="S17" i="2"/>
  <c r="Y17" i="2"/>
  <c r="S19" i="2"/>
  <c r="S20" i="2"/>
  <c r="Y19" i="2"/>
  <c r="Y20" i="2"/>
  <c r="Q4" i="2"/>
  <c r="R4" i="2"/>
  <c r="U4" i="2"/>
  <c r="V4" i="2"/>
  <c r="W4" i="2"/>
  <c r="T17" i="2"/>
  <c r="U17" i="2"/>
  <c r="V17" i="2"/>
  <c r="W17" i="2"/>
  <c r="Q19" i="2"/>
  <c r="R19" i="2"/>
  <c r="T19" i="2"/>
  <c r="U19" i="2"/>
  <c r="V19" i="2"/>
  <c r="W19" i="2"/>
  <c r="Q20" i="2"/>
  <c r="R20" i="2"/>
  <c r="T20" i="2"/>
  <c r="U20" i="2"/>
  <c r="V20" i="2"/>
  <c r="W20" i="2"/>
  <c r="W24" i="2"/>
  <c r="Z23" i="4"/>
  <c r="AF6" i="5" l="1"/>
  <c r="AE6" i="5" s="1"/>
  <c r="AN6" i="5"/>
  <c r="AK6" i="5"/>
  <c r="AL6" i="5"/>
  <c r="AJ6" i="5"/>
  <c r="AM6" i="5"/>
  <c r="AQ6" i="5"/>
  <c r="AF13" i="5"/>
  <c r="AE13" i="5" s="1"/>
  <c r="AK13" i="5"/>
  <c r="AQ13" i="5"/>
  <c r="AL13" i="5"/>
  <c r="AN13" i="5"/>
  <c r="AJ13" i="5"/>
  <c r="AM13" i="5"/>
  <c r="AF21" i="5"/>
  <c r="AM21" i="5"/>
  <c r="AL21" i="5"/>
  <c r="AJ21" i="5"/>
  <c r="AK21" i="5"/>
  <c r="AQ21" i="5"/>
  <c r="AN21" i="5"/>
  <c r="AI6" i="5"/>
  <c r="AR6" i="5" s="1"/>
  <c r="AG6" i="5"/>
  <c r="AG20" i="5"/>
  <c r="AE20" i="5" s="1"/>
  <c r="AM20" i="5"/>
  <c r="AJ20" i="5"/>
  <c r="AK20" i="5"/>
  <c r="AQ20" i="5"/>
  <c r="AL20" i="5"/>
  <c r="AN20" i="5"/>
  <c r="AI19" i="5"/>
  <c r="AG19" i="5"/>
  <c r="AE19" i="5" s="1"/>
  <c r="AK19" i="5"/>
  <c r="AM19" i="5"/>
  <c r="AJ19" i="5"/>
  <c r="AL19" i="5"/>
  <c r="AQ19" i="5"/>
  <c r="AN19" i="5"/>
  <c r="AF5" i="5"/>
  <c r="AK5" i="5"/>
  <c r="AJ5" i="5"/>
  <c r="AL5" i="5"/>
  <c r="AH23" i="5"/>
  <c r="AM5" i="5"/>
  <c r="AN5" i="5"/>
  <c r="AQ5" i="5"/>
  <c r="AF15" i="5"/>
  <c r="AE15" i="5" s="1"/>
  <c r="AQ15" i="5"/>
  <c r="AN15" i="5"/>
  <c r="AJ15" i="5"/>
  <c r="AK15" i="5"/>
  <c r="AL15" i="5"/>
  <c r="AM15" i="5"/>
  <c r="AR13" i="5"/>
  <c r="AF9" i="5"/>
  <c r="AN9" i="5"/>
  <c r="AJ9" i="5"/>
  <c r="AK9" i="5"/>
  <c r="AM9" i="5"/>
  <c r="AL9" i="5"/>
  <c r="AQ9" i="5"/>
  <c r="AP13" i="5"/>
  <c r="AF10" i="5"/>
  <c r="AE10" i="5" s="1"/>
  <c r="AQ10" i="5"/>
  <c r="AN10" i="5"/>
  <c r="AJ10" i="5"/>
  <c r="AK10" i="5"/>
  <c r="AM10" i="5"/>
  <c r="AL10" i="5"/>
  <c r="AE14" i="5"/>
  <c r="AO5" i="5"/>
  <c r="AF18" i="5"/>
  <c r="AE18" i="5" s="1"/>
  <c r="AK18" i="5"/>
  <c r="AM18" i="5"/>
  <c r="AL18" i="5"/>
  <c r="AQ18" i="5"/>
  <c r="AN18" i="5"/>
  <c r="AJ18" i="5"/>
  <c r="AC26" i="5"/>
  <c r="AE21" i="5"/>
  <c r="AF22" i="5"/>
  <c r="AK22" i="5"/>
  <c r="AL22" i="5"/>
  <c r="AM22" i="5"/>
  <c r="AQ22" i="5"/>
  <c r="AN22" i="5"/>
  <c r="AJ22" i="5"/>
  <c r="AH26" i="5"/>
  <c r="AF14" i="5"/>
  <c r="AN14" i="5"/>
  <c r="AL14" i="5"/>
  <c r="AQ14" i="5"/>
  <c r="AJ14" i="5"/>
  <c r="AK14" i="5"/>
  <c r="AM14" i="5"/>
  <c r="AI22" i="5"/>
  <c r="AO22" i="5" s="1"/>
  <c r="AG22" i="5"/>
  <c r="AE22" i="5" s="1"/>
  <c r="AI4" i="5"/>
  <c r="AG4" i="5"/>
  <c r="AM4" i="5"/>
  <c r="AQ4" i="5"/>
  <c r="AL4" i="5"/>
  <c r="AJ4" i="5"/>
  <c r="AK4" i="5"/>
  <c r="AN4" i="5"/>
  <c r="AH27" i="5"/>
  <c r="AP19" i="5"/>
  <c r="AP17" i="5"/>
  <c r="AO17" i="5"/>
  <c r="AP4" i="5"/>
  <c r="AR17" i="5"/>
  <c r="AO4" i="5"/>
  <c r="AC27" i="5"/>
  <c r="AO6" i="5"/>
  <c r="AP6" i="5"/>
  <c r="AI9" i="5"/>
  <c r="AI18" i="5"/>
  <c r="AI14" i="5"/>
  <c r="AI21" i="5"/>
  <c r="AI5" i="5"/>
  <c r="AI10" i="5"/>
  <c r="AI15" i="5"/>
  <c r="AI20" i="5"/>
  <c r="AE24" i="5" l="1"/>
  <c r="AE23" i="5"/>
  <c r="AH24" i="5"/>
  <c r="AI23" i="5"/>
  <c r="AR4" i="5"/>
  <c r="AR22" i="5"/>
  <c r="AJ23" i="5"/>
  <c r="AE4" i="5"/>
  <c r="AR19" i="5"/>
  <c r="AO19" i="5"/>
  <c r="AE5" i="5"/>
  <c r="AP22" i="5"/>
  <c r="AC24" i="5"/>
  <c r="AC25" i="5"/>
  <c r="AM23" i="5"/>
  <c r="AO20" i="5"/>
  <c r="AP20" i="5"/>
  <c r="AP23" i="5" s="1"/>
  <c r="AR20" i="5"/>
  <c r="AO18" i="5"/>
  <c r="AP18" i="5"/>
  <c r="AR18" i="5"/>
  <c r="AP10" i="5"/>
  <c r="AO10" i="5"/>
  <c r="AR10" i="5"/>
  <c r="AR9" i="5"/>
  <c r="AO9" i="5"/>
  <c r="AP9" i="5"/>
  <c r="AL23" i="5"/>
  <c r="AR21" i="5"/>
  <c r="AO21" i="5"/>
  <c r="AP21" i="5"/>
  <c r="AR14" i="5"/>
  <c r="AO14" i="5"/>
  <c r="AO23" i="5" s="1"/>
  <c r="AP14" i="5"/>
  <c r="AO15" i="5"/>
  <c r="AP15" i="5"/>
  <c r="AR15" i="5"/>
  <c r="AQ23" i="5" l="1"/>
  <c r="AR23" i="5"/>
  <c r="AK23" i="5"/>
  <c r="AN23" i="5"/>
  <c r="Q4" i="4"/>
  <c r="R4" i="4"/>
  <c r="Y4" i="4" s="1"/>
  <c r="S4" i="4"/>
  <c r="T4" i="4"/>
  <c r="U4" i="4"/>
  <c r="V4" i="4"/>
  <c r="W4" i="4"/>
  <c r="S17" i="4"/>
  <c r="T17" i="4"/>
  <c r="U17" i="4"/>
  <c r="V17" i="4"/>
  <c r="W17" i="4"/>
  <c r="Y17" i="4"/>
  <c r="AA17" i="4" s="1"/>
  <c r="Z17" i="4"/>
  <c r="AD17" i="4"/>
  <c r="Q19" i="4"/>
  <c r="AI19" i="4" s="1"/>
  <c r="R19" i="4"/>
  <c r="S19" i="4"/>
  <c r="T19" i="4"/>
  <c r="U19" i="4"/>
  <c r="V19" i="4"/>
  <c r="W19" i="4"/>
  <c r="Y19" i="4"/>
  <c r="AH19" i="4" s="1"/>
  <c r="Q20" i="4"/>
  <c r="R20" i="4"/>
  <c r="Y20" i="4" s="1"/>
  <c r="S20" i="4"/>
  <c r="T20" i="4"/>
  <c r="U20" i="4"/>
  <c r="V20" i="4"/>
  <c r="W20" i="4"/>
  <c r="AC17" i="2"/>
  <c r="Z17" i="2"/>
  <c r="AA17" i="2"/>
  <c r="AB17" i="2"/>
  <c r="AD17" i="2"/>
  <c r="Z19" i="2"/>
  <c r="AA19" i="2"/>
  <c r="AF20" i="2"/>
  <c r="AG17" i="2" l="1"/>
  <c r="AF17" i="2"/>
  <c r="Z20" i="2"/>
  <c r="AA20" i="2"/>
  <c r="AC19" i="2"/>
  <c r="AB19" i="2"/>
  <c r="AD4" i="4"/>
  <c r="AF4" i="4"/>
  <c r="AG4" i="4"/>
  <c r="AH4" i="4"/>
  <c r="AI4" i="4"/>
  <c r="AB4" i="4"/>
  <c r="Z4" i="4"/>
  <c r="AA4" i="4"/>
  <c r="AC4" i="4"/>
  <c r="AD20" i="4"/>
  <c r="AF20" i="4"/>
  <c r="AB20" i="4"/>
  <c r="Z20" i="4"/>
  <c r="AA20" i="4"/>
  <c r="AG20" i="4"/>
  <c r="AC20" i="4"/>
  <c r="AG19" i="4"/>
  <c r="AF19" i="4"/>
  <c r="AD19" i="4"/>
  <c r="AC19" i="4"/>
  <c r="AI17" i="4"/>
  <c r="AB19" i="4"/>
  <c r="AH17" i="4"/>
  <c r="AI20" i="4"/>
  <c r="AA19" i="4"/>
  <c r="AG17" i="4"/>
  <c r="AH20" i="4"/>
  <c r="Z19" i="4"/>
  <c r="AF17" i="4"/>
  <c r="AC17" i="4"/>
  <c r="AB17" i="4"/>
  <c r="AD4" i="2"/>
  <c r="AF4" i="2"/>
  <c r="AC4" i="2"/>
  <c r="AA4" i="2"/>
  <c r="AG4" i="2"/>
  <c r="Z4" i="2"/>
  <c r="AB4" i="2"/>
  <c r="AC20" i="2"/>
  <c r="AG19" i="2"/>
  <c r="AB20" i="2"/>
  <c r="AF19" i="2"/>
  <c r="AG20" i="2"/>
  <c r="AD20" i="2"/>
  <c r="AD19" i="2"/>
  <c r="AI23" i="4" l="1"/>
  <c r="AH23" i="4"/>
  <c r="AH5" i="4"/>
  <c r="AI5" i="4"/>
  <c r="AH6" i="4"/>
  <c r="AI6" i="4"/>
  <c r="AH9" i="4"/>
  <c r="AI9" i="4"/>
  <c r="AH10" i="4"/>
  <c r="AI10" i="4"/>
  <c r="AH13" i="4"/>
  <c r="AI13" i="4"/>
  <c r="AH14" i="4"/>
  <c r="AI14" i="4"/>
  <c r="AH15" i="4"/>
  <c r="AI15" i="4"/>
  <c r="AH18" i="4"/>
  <c r="AI18" i="4"/>
  <c r="AH21" i="4"/>
  <c r="AI21" i="4"/>
  <c r="AH22" i="4"/>
  <c r="AI22" i="4"/>
  <c r="AI2" i="4"/>
  <c r="AH2" i="4"/>
  <c r="AF2" i="4"/>
  <c r="AG23" i="4"/>
  <c r="AF23" i="4"/>
  <c r="AF5" i="4"/>
  <c r="AG5" i="4"/>
  <c r="AF6" i="4"/>
  <c r="AG6" i="4"/>
  <c r="AF9" i="4"/>
  <c r="AG9" i="4"/>
  <c r="AF10" i="4"/>
  <c r="AG10" i="4"/>
  <c r="AF13" i="4"/>
  <c r="AG13" i="4"/>
  <c r="AF14" i="4"/>
  <c r="AG14" i="4"/>
  <c r="AF15" i="4"/>
  <c r="AG15" i="4"/>
  <c r="AF18" i="4"/>
  <c r="AG18" i="4"/>
  <c r="AF21" i="4"/>
  <c r="AG21" i="4"/>
  <c r="AF22" i="4"/>
  <c r="AG22" i="4"/>
  <c r="AG2" i="4"/>
  <c r="AD23" i="4"/>
  <c r="AC23" i="4"/>
  <c r="AB23" i="4"/>
  <c r="AA23" i="4"/>
  <c r="Z5" i="4"/>
  <c r="AA5" i="4"/>
  <c r="AB5" i="4"/>
  <c r="AC5" i="4"/>
  <c r="AD5" i="4"/>
  <c r="Z6" i="4"/>
  <c r="AA6" i="4"/>
  <c r="AB6" i="4"/>
  <c r="AC6" i="4"/>
  <c r="AD6" i="4"/>
  <c r="Z9" i="4"/>
  <c r="AA9" i="4"/>
  <c r="AB9" i="4"/>
  <c r="AC9" i="4"/>
  <c r="AD9" i="4"/>
  <c r="Z10" i="4"/>
  <c r="AA10" i="4"/>
  <c r="AB10" i="4"/>
  <c r="AC10" i="4"/>
  <c r="AD10" i="4"/>
  <c r="Z13" i="4"/>
  <c r="AA13" i="4"/>
  <c r="AB13" i="4"/>
  <c r="AC13" i="4"/>
  <c r="AD13" i="4"/>
  <c r="Z14" i="4"/>
  <c r="AA14" i="4"/>
  <c r="AB14" i="4"/>
  <c r="AC14" i="4"/>
  <c r="AD14" i="4"/>
  <c r="Z15" i="4"/>
  <c r="AA15" i="4"/>
  <c r="AB15" i="4"/>
  <c r="AC15" i="4"/>
  <c r="AD15" i="4"/>
  <c r="Z18" i="4"/>
  <c r="AA18" i="4"/>
  <c r="AB18" i="4"/>
  <c r="AC18" i="4"/>
  <c r="AD18" i="4"/>
  <c r="Z21" i="4"/>
  <c r="AA21" i="4"/>
  <c r="AB21" i="4"/>
  <c r="AC21" i="4"/>
  <c r="AD21" i="4"/>
  <c r="Z22" i="4"/>
  <c r="AA22" i="4"/>
  <c r="AB22" i="4"/>
  <c r="AC22" i="4"/>
  <c r="AD22" i="4"/>
  <c r="AD2" i="4"/>
  <c r="AC2" i="4"/>
  <c r="AB2" i="4"/>
  <c r="AA2" i="4"/>
  <c r="Z2" i="4"/>
  <c r="Y22" i="4"/>
  <c r="W22" i="4"/>
  <c r="V22" i="4"/>
  <c r="U22" i="4"/>
  <c r="T22" i="4"/>
  <c r="S22" i="4"/>
  <c r="R22" i="4"/>
  <c r="Q22" i="4"/>
  <c r="W21" i="4"/>
  <c r="V21" i="4"/>
  <c r="U21" i="4"/>
  <c r="T21" i="4"/>
  <c r="S21" i="4"/>
  <c r="R21" i="4"/>
  <c r="Y21" i="4" s="1"/>
  <c r="Q21" i="4"/>
  <c r="W23" i="4"/>
  <c r="Y18" i="4"/>
  <c r="W18" i="4"/>
  <c r="V18" i="4"/>
  <c r="U18" i="4"/>
  <c r="T18" i="4"/>
  <c r="S18" i="4"/>
  <c r="R18" i="4"/>
  <c r="Q18" i="4"/>
  <c r="W15" i="4"/>
  <c r="V15" i="4"/>
  <c r="U15" i="4"/>
  <c r="T15" i="4"/>
  <c r="S15" i="4"/>
  <c r="R15" i="4"/>
  <c r="Y15" i="4" s="1"/>
  <c r="Q15" i="4"/>
  <c r="W14" i="4"/>
  <c r="V14" i="4"/>
  <c r="U14" i="4"/>
  <c r="T14" i="4"/>
  <c r="S14" i="4"/>
  <c r="R14" i="4"/>
  <c r="Q14" i="4"/>
  <c r="Y13" i="4"/>
  <c r="W13" i="4"/>
  <c r="V13" i="4"/>
  <c r="U13" i="4"/>
  <c r="T13" i="4"/>
  <c r="S13" i="4"/>
  <c r="R13" i="4"/>
  <c r="Q13" i="4"/>
  <c r="W10" i="4"/>
  <c r="V10" i="4"/>
  <c r="U10" i="4"/>
  <c r="T10" i="4"/>
  <c r="S10" i="4"/>
  <c r="R10" i="4"/>
  <c r="Y10" i="4" s="1"/>
  <c r="Q10" i="4"/>
  <c r="W9" i="4"/>
  <c r="V9" i="4"/>
  <c r="U9" i="4"/>
  <c r="T9" i="4"/>
  <c r="S9" i="4"/>
  <c r="R9" i="4"/>
  <c r="Y9" i="4" s="1"/>
  <c r="Q9" i="4"/>
  <c r="W6" i="4"/>
  <c r="V6" i="4"/>
  <c r="U6" i="4"/>
  <c r="T6" i="4"/>
  <c r="S6" i="4"/>
  <c r="R6" i="4"/>
  <c r="Q6" i="4"/>
  <c r="Y5" i="4"/>
  <c r="W5" i="4"/>
  <c r="V5" i="4"/>
  <c r="U5" i="4"/>
  <c r="T5" i="4"/>
  <c r="S5" i="4"/>
  <c r="R5" i="4"/>
  <c r="Q5" i="4"/>
  <c r="Y2" i="4"/>
  <c r="W2" i="4"/>
  <c r="W24" i="4" s="1"/>
  <c r="V2" i="4"/>
  <c r="U2" i="4"/>
  <c r="T2" i="4"/>
  <c r="S2" i="4"/>
  <c r="S24" i="4" s="1"/>
  <c r="AD5" i="2"/>
  <c r="AD6" i="2"/>
  <c r="AD9" i="2"/>
  <c r="AD10" i="2"/>
  <c r="AD13" i="2"/>
  <c r="AD14" i="2"/>
  <c r="AD15" i="2"/>
  <c r="AD18" i="2"/>
  <c r="AD21" i="2"/>
  <c r="AD22" i="2"/>
  <c r="AD2" i="2"/>
  <c r="Z5" i="2"/>
  <c r="AA5" i="2"/>
  <c r="Z6" i="2"/>
  <c r="AA6" i="2"/>
  <c r="Z9" i="2"/>
  <c r="AA9" i="2"/>
  <c r="Z10" i="2"/>
  <c r="AA10" i="2"/>
  <c r="Z13" i="2"/>
  <c r="AA13" i="2"/>
  <c r="Z14" i="2"/>
  <c r="AA14" i="2"/>
  <c r="Z15" i="2"/>
  <c r="AA15" i="2"/>
  <c r="Z18" i="2"/>
  <c r="AA18" i="2"/>
  <c r="Z21" i="2"/>
  <c r="AA21" i="2"/>
  <c r="Z22" i="2"/>
  <c r="AA22" i="2"/>
  <c r="Z2" i="2"/>
  <c r="AA2" i="2"/>
  <c r="S24" i="2"/>
  <c r="AC5" i="2"/>
  <c r="AC6" i="2"/>
  <c r="AC9" i="2"/>
  <c r="AC10" i="2"/>
  <c r="AC13" i="2"/>
  <c r="AC14" i="2"/>
  <c r="AC15" i="2"/>
  <c r="AC18" i="2"/>
  <c r="AC21" i="2"/>
  <c r="AC22" i="2"/>
  <c r="AC2" i="2"/>
  <c r="AG22" i="2"/>
  <c r="AF22" i="2"/>
  <c r="AG5" i="2"/>
  <c r="AG6" i="2"/>
  <c r="AG9" i="2"/>
  <c r="AG10" i="2"/>
  <c r="AG13" i="2"/>
  <c r="AG14" i="2"/>
  <c r="AG15" i="2"/>
  <c r="AG18" i="2"/>
  <c r="AG21" i="2"/>
  <c r="AG2" i="2"/>
  <c r="AF5" i="2"/>
  <c r="AF6" i="2"/>
  <c r="AF9" i="2"/>
  <c r="AF10" i="2"/>
  <c r="AF13" i="2"/>
  <c r="AF14" i="2"/>
  <c r="AF15" i="2"/>
  <c r="AF18" i="2"/>
  <c r="AF21" i="2"/>
  <c r="AF2" i="2"/>
  <c r="AB5" i="2"/>
  <c r="AB6" i="2"/>
  <c r="AB9" i="2"/>
  <c r="AB10" i="2"/>
  <c r="AB13" i="2"/>
  <c r="AB14" i="2"/>
  <c r="AB15" i="2"/>
  <c r="AB18" i="2"/>
  <c r="AB21" i="2"/>
  <c r="AB22" i="2"/>
  <c r="AB2" i="2"/>
  <c r="Y5" i="2"/>
  <c r="Y6" i="2"/>
  <c r="Y9" i="2"/>
  <c r="Y10" i="2"/>
  <c r="Y13" i="2"/>
  <c r="Y14" i="2"/>
  <c r="Y15" i="2"/>
  <c r="Y18" i="2"/>
  <c r="Y21" i="2"/>
  <c r="Y22" i="2"/>
  <c r="Y2" i="2"/>
  <c r="S23" i="4" l="1"/>
  <c r="Y6" i="4"/>
  <c r="Y14" i="4"/>
  <c r="W23" i="2"/>
  <c r="W22" i="2"/>
  <c r="V22" i="2"/>
  <c r="U22" i="2"/>
  <c r="T22" i="2"/>
  <c r="S22" i="2"/>
  <c r="R22" i="2"/>
  <c r="Q22" i="2"/>
  <c r="W21" i="2"/>
  <c r="V21" i="2"/>
  <c r="U21" i="2"/>
  <c r="T21" i="2"/>
  <c r="S21" i="2"/>
  <c r="R21" i="2"/>
  <c r="Q21" i="2"/>
  <c r="W18" i="2"/>
  <c r="V18" i="2"/>
  <c r="U18" i="2"/>
  <c r="T18" i="2"/>
  <c r="S18" i="2"/>
  <c r="R18" i="2"/>
  <c r="Q18" i="2"/>
  <c r="W15" i="2"/>
  <c r="V15" i="2"/>
  <c r="U15" i="2"/>
  <c r="T15" i="2"/>
  <c r="S15" i="2"/>
  <c r="R15" i="2"/>
  <c r="Q15" i="2"/>
  <c r="W14" i="2"/>
  <c r="V14" i="2"/>
  <c r="U14" i="2"/>
  <c r="T14" i="2"/>
  <c r="S14" i="2"/>
  <c r="R14" i="2"/>
  <c r="Q14" i="2"/>
  <c r="T13" i="2"/>
  <c r="W13" i="2"/>
  <c r="V13" i="2"/>
  <c r="U13" i="2"/>
  <c r="S13" i="2"/>
  <c r="R13" i="2"/>
  <c r="Q13" i="2"/>
  <c r="W10" i="2"/>
  <c r="V10" i="2"/>
  <c r="U10" i="2"/>
  <c r="T10" i="2"/>
  <c r="S10" i="2"/>
  <c r="R10" i="2"/>
  <c r="Q10" i="2"/>
  <c r="W9" i="2"/>
  <c r="V9" i="2"/>
  <c r="U9" i="2"/>
  <c r="T9" i="2"/>
  <c r="S9" i="2"/>
  <c r="R9" i="2"/>
  <c r="Q9" i="2"/>
  <c r="W6" i="2"/>
  <c r="V6" i="2"/>
  <c r="U6" i="2"/>
  <c r="S6" i="2"/>
  <c r="R6" i="2"/>
  <c r="Q6" i="2"/>
  <c r="W5" i="2"/>
  <c r="V5" i="2"/>
  <c r="U5" i="2"/>
  <c r="T5" i="2"/>
  <c r="S5" i="2"/>
  <c r="V2" i="2"/>
  <c r="U2" i="2"/>
  <c r="S2" i="2"/>
  <c r="R5" i="2"/>
  <c r="Q5" i="2"/>
  <c r="W2" i="2"/>
</calcChain>
</file>

<file path=xl/sharedStrings.xml><?xml version="1.0" encoding="utf-8"?>
<sst xmlns="http://schemas.openxmlformats.org/spreadsheetml/2006/main" count="127" uniqueCount="48">
  <si>
    <t>ID</t>
  </si>
  <si>
    <t>RiverNo</t>
  </si>
  <si>
    <t>theta</t>
  </si>
  <si>
    <t>std_theta</t>
  </si>
  <si>
    <t>ksn</t>
  </si>
  <si>
    <t>std_ksn</t>
  </si>
  <si>
    <t>DWksn</t>
  </si>
  <si>
    <t>DWstd_ksn</t>
  </si>
  <si>
    <t>Amin_km</t>
  </si>
  <si>
    <t>Amax_km</t>
  </si>
  <si>
    <t>Emax_m</t>
  </si>
  <si>
    <t>Emin_m</t>
  </si>
  <si>
    <t>Lenmax_m</t>
  </si>
  <si>
    <t>Chimax</t>
  </si>
  <si>
    <t>裂点高差</t>
    <phoneticPr fontId="18" type="noConversion"/>
  </si>
  <si>
    <t>溯源距离</t>
    <phoneticPr fontId="18" type="noConversion"/>
  </si>
  <si>
    <t>流域面积</t>
    <phoneticPr fontId="18" type="noConversion"/>
  </si>
  <si>
    <t>Chi</t>
    <phoneticPr fontId="18" type="noConversion"/>
  </si>
  <si>
    <t>ksn_下</t>
    <phoneticPr fontId="18" type="noConversion"/>
  </si>
  <si>
    <t>ksn_上</t>
    <phoneticPr fontId="18" type="noConversion"/>
  </si>
  <si>
    <t>裂点面积</t>
    <phoneticPr fontId="18" type="noConversion"/>
  </si>
  <si>
    <t>r=i/f</t>
    <phoneticPr fontId="18" type="noConversion"/>
  </si>
  <si>
    <t xml:space="preserve"> </t>
    <phoneticPr fontId="18" type="noConversion"/>
  </si>
  <si>
    <t>n=0.5</t>
    <phoneticPr fontId="18" type="noConversion"/>
  </si>
  <si>
    <t>n=1.5</t>
    <phoneticPr fontId="18" type="noConversion"/>
  </si>
  <si>
    <t xml:space="preserve"> </t>
    <phoneticPr fontId="18" type="noConversion"/>
  </si>
  <si>
    <t>n=2</t>
    <phoneticPr fontId="18" type="noConversion"/>
  </si>
  <si>
    <t>n=0.7</t>
    <phoneticPr fontId="18" type="noConversion"/>
  </si>
  <si>
    <t>n=0.9</t>
  </si>
  <si>
    <t>n=0.11</t>
  </si>
  <si>
    <t>n=0.1</t>
  </si>
  <si>
    <t>n=0.3</t>
  </si>
  <si>
    <t>n=3</t>
  </si>
  <si>
    <t>n=2.5</t>
    <phoneticPr fontId="18" type="noConversion"/>
  </si>
  <si>
    <t>下切深度</t>
    <phoneticPr fontId="18" type="noConversion"/>
  </si>
  <si>
    <t>n=1</t>
    <phoneticPr fontId="18" type="noConversion"/>
  </si>
  <si>
    <t>n=0.05</t>
    <phoneticPr fontId="18" type="noConversion"/>
  </si>
  <si>
    <t>图中编号</t>
    <phoneticPr fontId="18" type="noConversion"/>
  </si>
  <si>
    <t>裂点年龄</t>
    <phoneticPr fontId="18" type="noConversion"/>
  </si>
  <si>
    <t>EUp_mm/a</t>
    <phoneticPr fontId="18" type="noConversion"/>
  </si>
  <si>
    <t>EDn_mm/a</t>
    <phoneticPr fontId="18" type="noConversion"/>
  </si>
  <si>
    <t>z0</t>
    <phoneticPr fontId="18" type="noConversion"/>
  </si>
  <si>
    <t>现今水头</t>
    <phoneticPr fontId="18" type="noConversion"/>
  </si>
  <si>
    <t>古起伏</t>
    <phoneticPr fontId="18" type="noConversion"/>
  </si>
  <si>
    <t>现今起伏</t>
    <phoneticPr fontId="18" type="noConversion"/>
  </si>
  <si>
    <t>现今水口</t>
    <phoneticPr fontId="18" type="noConversion"/>
  </si>
  <si>
    <t>均值</t>
    <phoneticPr fontId="18" type="noConversion"/>
  </si>
  <si>
    <t>标准差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</si>
</sst>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"/>
    <numFmt numFmtId="177" formatCode="0.00_ "/>
    <numFmt numFmtId="178" formatCode="0.00_);[Red]\(0.00\)"/>
    <numFmt numFmtId="179" formatCode="0.00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" fontId="0" fillId="33" borderId="0" xfId="0" applyNumberFormat="1" applyFill="1">
      <alignment vertical="center"/>
    </xf>
    <xf numFmtId="178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/>
    <xf numFmtId="177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Sheet1!$U$2:$U$22</c:f>
              <c:numCache>
                <c:formatCode>0.00_);[Red]\(0.00\)</c:formatCode>
                <c:ptCount val="21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  <c:pt idx="11">
                  <c:v>77.547448000000003</c:v>
                </c:pt>
                <c:pt idx="12">
                  <c:v>60.065069000000001</c:v>
                </c:pt>
                <c:pt idx="13">
                  <c:v>16.188768</c:v>
                </c:pt>
                <c:pt idx="15">
                  <c:v>122.81957</c:v>
                </c:pt>
                <c:pt idx="16">
                  <c:v>29.975573000000001</c:v>
                </c:pt>
                <c:pt idx="17">
                  <c:v>38.873272999999998</c:v>
                </c:pt>
                <c:pt idx="18" formatCode="0.00_ ">
                  <c:v>37.528556999999999</c:v>
                </c:pt>
                <c:pt idx="19" formatCode="0.00_ ">
                  <c:v>15.717105999999999</c:v>
                </c:pt>
                <c:pt idx="20" formatCode="0.00_ ">
                  <c:v>28.26247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裂点面积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00174978127734E-2"/>
                  <c:y val="-6.8665427238261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Sheet1!$V$2:$V$22</c:f>
              <c:numCache>
                <c:formatCode>0.00_);[Red]\(0.00\)</c:formatCode>
                <c:ptCount val="21"/>
                <c:pt idx="0">
                  <c:v>32.797029000000002</c:v>
                </c:pt>
                <c:pt idx="2">
                  <c:v>190.98807300000001</c:v>
                </c:pt>
                <c:pt idx="3">
                  <c:v>41.293337000000001</c:v>
                </c:pt>
                <c:pt idx="4">
                  <c:v>175.001598</c:v>
                </c:pt>
                <c:pt idx="7">
                  <c:v>5.3022080000000003</c:v>
                </c:pt>
                <c:pt idx="8">
                  <c:v>19.421199000000001</c:v>
                </c:pt>
                <c:pt idx="11">
                  <c:v>53.669414000000003</c:v>
                </c:pt>
                <c:pt idx="12">
                  <c:v>16.273944</c:v>
                </c:pt>
                <c:pt idx="13">
                  <c:v>10.759861000000001</c:v>
                </c:pt>
                <c:pt idx="15">
                  <c:v>93.935315000000003</c:v>
                </c:pt>
                <c:pt idx="16">
                  <c:v>3.160031</c:v>
                </c:pt>
                <c:pt idx="17">
                  <c:v>33.153703</c:v>
                </c:pt>
                <c:pt idx="18" formatCode="0.00_ ">
                  <c:v>28.845925999999999</c:v>
                </c:pt>
                <c:pt idx="19" formatCode="0.00_ ">
                  <c:v>5.3565069999999997</c:v>
                </c:pt>
                <c:pt idx="20" formatCode="0.00_ ">
                  <c:v>20.193106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3139440"/>
        <c:axId val="-927835632"/>
      </c:scatterChart>
      <c:valAx>
        <c:axId val="-9331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5632"/>
        <c:crosses val="autoZero"/>
        <c:crossBetween val="midCat"/>
      </c:valAx>
      <c:valAx>
        <c:axId val="-927835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 </a:t>
                </a:r>
                <a:r>
                  <a:rPr lang="en-US" altLang="zh-CN"/>
                  <a:t>km^2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331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933333333333331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Sheet1!$U$2:$U$22</c:f>
              <c:numCache>
                <c:formatCode>0.00_);[Red]\(0.00\)</c:formatCode>
                <c:ptCount val="21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  <c:pt idx="11">
                  <c:v>77.547448000000003</c:v>
                </c:pt>
                <c:pt idx="12">
                  <c:v>60.065069000000001</c:v>
                </c:pt>
                <c:pt idx="13">
                  <c:v>16.188768</c:v>
                </c:pt>
                <c:pt idx="15">
                  <c:v>122.81957</c:v>
                </c:pt>
                <c:pt idx="16">
                  <c:v>29.975573000000001</c:v>
                </c:pt>
                <c:pt idx="17">
                  <c:v>38.873272999999998</c:v>
                </c:pt>
                <c:pt idx="18" formatCode="0.00_ ">
                  <c:v>37.528556999999999</c:v>
                </c:pt>
                <c:pt idx="19" formatCode="0.00_ ">
                  <c:v>15.717105999999999</c:v>
                </c:pt>
                <c:pt idx="20" formatCode="0.00_ ">
                  <c:v>28.26247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裂点面积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00174978127734E-2"/>
                  <c:y val="-6.8665427238261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Sheet1!$V$2:$V$22</c:f>
              <c:numCache>
                <c:formatCode>0.00_);[Red]\(0.00\)</c:formatCode>
                <c:ptCount val="21"/>
                <c:pt idx="0">
                  <c:v>32.797029000000002</c:v>
                </c:pt>
                <c:pt idx="2">
                  <c:v>190.98807300000001</c:v>
                </c:pt>
                <c:pt idx="3">
                  <c:v>41.293337000000001</c:v>
                </c:pt>
                <c:pt idx="4">
                  <c:v>175.001598</c:v>
                </c:pt>
                <c:pt idx="7">
                  <c:v>5.3022080000000003</c:v>
                </c:pt>
                <c:pt idx="8">
                  <c:v>19.421199000000001</c:v>
                </c:pt>
                <c:pt idx="11">
                  <c:v>53.669414000000003</c:v>
                </c:pt>
                <c:pt idx="12">
                  <c:v>16.273944</c:v>
                </c:pt>
                <c:pt idx="13">
                  <c:v>10.759861000000001</c:v>
                </c:pt>
                <c:pt idx="15">
                  <c:v>93.935315000000003</c:v>
                </c:pt>
                <c:pt idx="16">
                  <c:v>3.160031</c:v>
                </c:pt>
                <c:pt idx="17">
                  <c:v>33.153703</c:v>
                </c:pt>
                <c:pt idx="18" formatCode="0.00_ ">
                  <c:v>28.845925999999999</c:v>
                </c:pt>
                <c:pt idx="19" formatCode="0.00_ ">
                  <c:v>5.3565069999999997</c:v>
                </c:pt>
                <c:pt idx="20" formatCode="0.00_ ">
                  <c:v>20.193106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126160"/>
        <c:axId val="-798127248"/>
      </c:scatterChart>
      <c:valAx>
        <c:axId val="-7981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7248"/>
        <c:crosses val="autoZero"/>
        <c:crossBetween val="midCat"/>
      </c:valAx>
      <c:valAx>
        <c:axId val="-79812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 </a:t>
                </a:r>
                <a:r>
                  <a:rPr lang="en-US" altLang="zh-CN"/>
                  <a:t>km^2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933333333333331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459951881014872"/>
                  <c:y val="5.4611402741323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Sheet1!$T$2:$T$10</c:f>
              <c:numCache>
                <c:formatCode>0.00_);[Red]\(0.00\)</c:formatCode>
                <c:ptCount val="9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</c:numCache>
            </c:numRef>
          </c:xVal>
          <c:yVal>
            <c:numRef>
              <c:f>Sheet1!$U$2:$U$10</c:f>
              <c:numCache>
                <c:formatCode>0.00_);[Red]\(0.00\)</c:formatCode>
                <c:ptCount val="9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</c:numCache>
            </c:numRef>
          </c:yVal>
          <c:smooth val="0"/>
        </c:ser>
        <c:ser>
          <c:idx val="1"/>
          <c:order val="1"/>
          <c:tx>
            <c:v>下一段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4919181977252844"/>
                  <c:y val="5.89566929133858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Sheet1!$T$13:$T$22</c:f>
              <c:numCache>
                <c:formatCode>0.00_);[Red]\(0.00\)</c:formatCode>
                <c:ptCount val="10"/>
                <c:pt idx="0">
                  <c:v>10.545999159999999</c:v>
                </c:pt>
                <c:pt idx="1">
                  <c:v>14.222131601999999</c:v>
                </c:pt>
                <c:pt idx="2">
                  <c:v>4.4469775609999997</c:v>
                </c:pt>
                <c:pt idx="4">
                  <c:v>13.080938866</c:v>
                </c:pt>
                <c:pt idx="5">
                  <c:v>10.81702183</c:v>
                </c:pt>
                <c:pt idx="6">
                  <c:v>4.6315314040000004</c:v>
                </c:pt>
                <c:pt idx="7">
                  <c:v>4.6438001880000002</c:v>
                </c:pt>
                <c:pt idx="8">
                  <c:v>5.8907785610000003</c:v>
                </c:pt>
                <c:pt idx="9">
                  <c:v>5.09957248</c:v>
                </c:pt>
              </c:numCache>
            </c:numRef>
          </c:xVal>
          <c:yVal>
            <c:numRef>
              <c:f>Sheet1!$U$13:$U$22</c:f>
              <c:numCache>
                <c:formatCode>0.00_);[Red]\(0.00\)</c:formatCode>
                <c:ptCount val="10"/>
                <c:pt idx="0">
                  <c:v>77.547448000000003</c:v>
                </c:pt>
                <c:pt idx="1">
                  <c:v>60.065069000000001</c:v>
                </c:pt>
                <c:pt idx="2">
                  <c:v>16.188768</c:v>
                </c:pt>
                <c:pt idx="4">
                  <c:v>122.81957</c:v>
                </c:pt>
                <c:pt idx="5">
                  <c:v>29.975573000000001</c:v>
                </c:pt>
                <c:pt idx="6">
                  <c:v>38.873272999999998</c:v>
                </c:pt>
                <c:pt idx="7" formatCode="0.00_ ">
                  <c:v>37.528556999999999</c:v>
                </c:pt>
                <c:pt idx="8" formatCode="0.00_ ">
                  <c:v>15.717105999999999</c:v>
                </c:pt>
                <c:pt idx="9" formatCode="0.00_ ">
                  <c:v>28.26247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7836176"/>
        <c:axId val="-927839440"/>
      </c:scatterChart>
      <c:valAx>
        <c:axId val="-9278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9440"/>
        <c:crosses val="autoZero"/>
        <c:crossBetween val="midCat"/>
      </c:valAx>
      <c:valAx>
        <c:axId val="-9278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 </a:t>
                </a:r>
                <a:r>
                  <a:rPr lang="en-US" altLang="zh-CN"/>
                  <a:t>km^2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666666666666666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658498133277894E-2"/>
                  <c:y val="-7.6365558471857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Sheet1!$U$2:$U$22</c:f>
              <c:numCache>
                <c:formatCode>0.00_);[Red]\(0.00\)</c:formatCode>
                <c:ptCount val="21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  <c:pt idx="11">
                  <c:v>77.547448000000003</c:v>
                </c:pt>
                <c:pt idx="12">
                  <c:v>60.065069000000001</c:v>
                </c:pt>
                <c:pt idx="13">
                  <c:v>16.188768</c:v>
                </c:pt>
                <c:pt idx="15">
                  <c:v>122.81957</c:v>
                </c:pt>
                <c:pt idx="16">
                  <c:v>29.975573000000001</c:v>
                </c:pt>
                <c:pt idx="17">
                  <c:v>38.873272999999998</c:v>
                </c:pt>
                <c:pt idx="18" formatCode="0.00_ ">
                  <c:v>37.528556999999999</c:v>
                </c:pt>
                <c:pt idx="19" formatCode="0.00_ ">
                  <c:v>15.717105999999999</c:v>
                </c:pt>
                <c:pt idx="20" formatCode="0.00_ ">
                  <c:v>28.26247</c:v>
                </c:pt>
              </c:numCache>
            </c:numRef>
          </c:xVal>
          <c:y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4696320"/>
        <c:axId val="-794694688"/>
      </c:scatterChart>
      <c:valAx>
        <c:axId val="-7946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流域面积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694688"/>
        <c:crosses val="autoZero"/>
        <c:crossBetween val="midCat"/>
      </c:valAx>
      <c:valAx>
        <c:axId val="-79469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46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933333333333331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Sheet1!$U$2:$U$22</c:f>
              <c:numCache>
                <c:formatCode>0.00_);[Red]\(0.00\)</c:formatCode>
                <c:ptCount val="21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  <c:pt idx="11">
                  <c:v>77.547448000000003</c:v>
                </c:pt>
                <c:pt idx="12">
                  <c:v>60.065069000000001</c:v>
                </c:pt>
                <c:pt idx="13">
                  <c:v>16.188768</c:v>
                </c:pt>
                <c:pt idx="15">
                  <c:v>122.81957</c:v>
                </c:pt>
                <c:pt idx="16">
                  <c:v>29.975573000000001</c:v>
                </c:pt>
                <c:pt idx="17">
                  <c:v>38.873272999999998</c:v>
                </c:pt>
                <c:pt idx="18" formatCode="0.00_ ">
                  <c:v>37.528556999999999</c:v>
                </c:pt>
                <c:pt idx="19" formatCode="0.00_ ">
                  <c:v>15.717105999999999</c:v>
                </c:pt>
                <c:pt idx="20" formatCode="0.00_ ">
                  <c:v>28.26247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裂点面积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00174978127734E-2"/>
                  <c:y val="-6.8665427238261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Sheet1!$T$2:$T$22</c:f>
              <c:numCache>
                <c:formatCode>0.00_);[Red]\(0.00\)</c:formatCode>
                <c:ptCount val="21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  <c:pt idx="11">
                  <c:v>10.545999159999999</c:v>
                </c:pt>
                <c:pt idx="12">
                  <c:v>14.222131601999999</c:v>
                </c:pt>
                <c:pt idx="13">
                  <c:v>4.4469775609999997</c:v>
                </c:pt>
                <c:pt idx="15">
                  <c:v>13.080938866</c:v>
                </c:pt>
                <c:pt idx="16">
                  <c:v>10.81702183</c:v>
                </c:pt>
                <c:pt idx="17">
                  <c:v>4.6315314040000004</c:v>
                </c:pt>
                <c:pt idx="18">
                  <c:v>4.6438001880000002</c:v>
                </c:pt>
                <c:pt idx="19">
                  <c:v>5.8907785610000003</c:v>
                </c:pt>
                <c:pt idx="20">
                  <c:v>5.09957248</c:v>
                </c:pt>
              </c:numCache>
            </c:numRef>
          </c:xVal>
          <c:yVal>
            <c:numRef>
              <c:f>Sheet1!$V$2:$V$22</c:f>
              <c:numCache>
                <c:formatCode>0.00_);[Red]\(0.00\)</c:formatCode>
                <c:ptCount val="21"/>
                <c:pt idx="0">
                  <c:v>32.797029000000002</c:v>
                </c:pt>
                <c:pt idx="2">
                  <c:v>190.98807300000001</c:v>
                </c:pt>
                <c:pt idx="3">
                  <c:v>41.293337000000001</c:v>
                </c:pt>
                <c:pt idx="4">
                  <c:v>175.001598</c:v>
                </c:pt>
                <c:pt idx="7">
                  <c:v>5.3022080000000003</c:v>
                </c:pt>
                <c:pt idx="8">
                  <c:v>19.421199000000001</c:v>
                </c:pt>
                <c:pt idx="11">
                  <c:v>53.669414000000003</c:v>
                </c:pt>
                <c:pt idx="12">
                  <c:v>16.273944</c:v>
                </c:pt>
                <c:pt idx="13">
                  <c:v>10.759861000000001</c:v>
                </c:pt>
                <c:pt idx="15">
                  <c:v>93.935315000000003</c:v>
                </c:pt>
                <c:pt idx="16">
                  <c:v>3.160031</c:v>
                </c:pt>
                <c:pt idx="17">
                  <c:v>33.153703</c:v>
                </c:pt>
                <c:pt idx="18" formatCode="0.00_ ">
                  <c:v>28.845925999999999</c:v>
                </c:pt>
                <c:pt idx="19" formatCode="0.00_ ">
                  <c:v>5.3565069999999997</c:v>
                </c:pt>
                <c:pt idx="20" formatCode="0.00_ ">
                  <c:v>20.193106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7837264"/>
        <c:axId val="-927836720"/>
      </c:scatterChart>
      <c:valAx>
        <c:axId val="-9278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6720"/>
        <c:crosses val="autoZero"/>
        <c:crossBetween val="midCat"/>
      </c:valAx>
      <c:valAx>
        <c:axId val="-92783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 </a:t>
                </a:r>
                <a:r>
                  <a:rPr lang="en-US" altLang="zh-CN"/>
                  <a:t>km^2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933333333333331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流域面积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459951881014872"/>
                  <c:y val="5.4611402741323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Sheet1!$T$2:$T$10</c:f>
              <c:numCache>
                <c:formatCode>0.00_);[Red]\(0.00\)</c:formatCode>
                <c:ptCount val="9"/>
                <c:pt idx="0">
                  <c:v>39.845096448999996</c:v>
                </c:pt>
                <c:pt idx="2">
                  <c:v>7.5469992069999998</c:v>
                </c:pt>
                <c:pt idx="3">
                  <c:v>9.2350012259999996</c:v>
                </c:pt>
                <c:pt idx="4">
                  <c:v>9.458841284</c:v>
                </c:pt>
                <c:pt idx="7">
                  <c:v>13.360053712999999</c:v>
                </c:pt>
                <c:pt idx="8">
                  <c:v>14.200726489000001</c:v>
                </c:pt>
              </c:numCache>
            </c:numRef>
          </c:xVal>
          <c:yVal>
            <c:numRef>
              <c:f>Sheet1!$U$2:$U$10</c:f>
              <c:numCache>
                <c:formatCode>0.00_);[Red]\(0.00\)</c:formatCode>
                <c:ptCount val="9"/>
                <c:pt idx="0">
                  <c:v>498.48097899999999</c:v>
                </c:pt>
                <c:pt idx="2">
                  <c:v>206.62106800000001</c:v>
                </c:pt>
                <c:pt idx="3">
                  <c:v>62.660808000000003</c:v>
                </c:pt>
                <c:pt idx="4">
                  <c:v>209.888633</c:v>
                </c:pt>
                <c:pt idx="7">
                  <c:v>31.35436</c:v>
                </c:pt>
                <c:pt idx="8">
                  <c:v>115.176087</c:v>
                </c:pt>
              </c:numCache>
            </c:numRef>
          </c:yVal>
          <c:smooth val="0"/>
        </c:ser>
        <c:ser>
          <c:idx val="1"/>
          <c:order val="1"/>
          <c:tx>
            <c:v>下一段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lg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4919181977252844"/>
                  <c:y val="5.89566929133858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Sheet1!$T$13:$T$22</c:f>
              <c:numCache>
                <c:formatCode>0.00_);[Red]\(0.00\)</c:formatCode>
                <c:ptCount val="10"/>
                <c:pt idx="0">
                  <c:v>10.545999159999999</c:v>
                </c:pt>
                <c:pt idx="1">
                  <c:v>14.222131601999999</c:v>
                </c:pt>
                <c:pt idx="2">
                  <c:v>4.4469775609999997</c:v>
                </c:pt>
                <c:pt idx="4">
                  <c:v>13.080938866</c:v>
                </c:pt>
                <c:pt idx="5">
                  <c:v>10.81702183</c:v>
                </c:pt>
                <c:pt idx="6">
                  <c:v>4.6315314040000004</c:v>
                </c:pt>
                <c:pt idx="7">
                  <c:v>4.6438001880000002</c:v>
                </c:pt>
                <c:pt idx="8">
                  <c:v>5.8907785610000003</c:v>
                </c:pt>
                <c:pt idx="9">
                  <c:v>5.09957248</c:v>
                </c:pt>
              </c:numCache>
            </c:numRef>
          </c:xVal>
          <c:yVal>
            <c:numRef>
              <c:f>Sheet1!$U$13:$U$22</c:f>
              <c:numCache>
                <c:formatCode>0.00_);[Red]\(0.00\)</c:formatCode>
                <c:ptCount val="10"/>
                <c:pt idx="0">
                  <c:v>77.547448000000003</c:v>
                </c:pt>
                <c:pt idx="1">
                  <c:v>60.065069000000001</c:v>
                </c:pt>
                <c:pt idx="2">
                  <c:v>16.188768</c:v>
                </c:pt>
                <c:pt idx="4">
                  <c:v>122.81957</c:v>
                </c:pt>
                <c:pt idx="5">
                  <c:v>29.975573000000001</c:v>
                </c:pt>
                <c:pt idx="6">
                  <c:v>38.873272999999998</c:v>
                </c:pt>
                <c:pt idx="7" formatCode="0.00_ ">
                  <c:v>37.528556999999999</c:v>
                </c:pt>
                <c:pt idx="8" formatCode="0.00_ ">
                  <c:v>15.717105999999999</c:v>
                </c:pt>
                <c:pt idx="9" formatCode="0.00_ ">
                  <c:v>28.26247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7840528"/>
        <c:axId val="-927839984"/>
      </c:scatterChart>
      <c:valAx>
        <c:axId val="-92784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溯源距离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39984"/>
        <c:crosses val="autoZero"/>
        <c:crossBetween val="midCat"/>
      </c:valAx>
      <c:valAx>
        <c:axId val="-92783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面积 </a:t>
                </a:r>
                <a:r>
                  <a:rPr lang="en-US" altLang="zh-CN"/>
                  <a:t>km^2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784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75962379702533"/>
          <c:y val="7.0022601341499E-2"/>
          <c:w val="0.26666666666666666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Sheet2!$Y$1</c:f>
              <c:strCache>
                <c:ptCount val="1"/>
                <c:pt idx="0">
                  <c:v>裂点高差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 formatCode="0">
                  <c:v>735</c:v>
                </c:pt>
                <c:pt idx="2" formatCode="0">
                  <c:v>360</c:v>
                </c:pt>
                <c:pt idx="3" formatCode="0">
                  <c:v>452</c:v>
                </c:pt>
                <c:pt idx="4" formatCode="0">
                  <c:v>250</c:v>
                </c:pt>
                <c:pt idx="7" formatCode="0">
                  <c:v>978</c:v>
                </c:pt>
                <c:pt idx="8" formatCode="0">
                  <c:v>654</c:v>
                </c:pt>
                <c:pt idx="11" formatCode="0">
                  <c:v>579</c:v>
                </c:pt>
                <c:pt idx="12" formatCode="0">
                  <c:v>1017</c:v>
                </c:pt>
                <c:pt idx="13" formatCode="0">
                  <c:v>510</c:v>
                </c:pt>
                <c:pt idx="15" formatCode="0">
                  <c:v>860</c:v>
                </c:pt>
                <c:pt idx="16" formatCode="0">
                  <c:v>941</c:v>
                </c:pt>
                <c:pt idx="17" formatCode="0">
                  <c:v>662</c:v>
                </c:pt>
                <c:pt idx="18" formatCode="0">
                  <c:v>598</c:v>
                </c:pt>
                <c:pt idx="19" formatCode="0">
                  <c:v>576</c:v>
                </c:pt>
                <c:pt idx="20" formatCode="0">
                  <c:v>324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Sheet2!$AH$1</c:f>
              <c:strCache>
                <c:ptCount val="1"/>
                <c:pt idx="0">
                  <c:v>下切深度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Sheet2!$AH$2:$AH$22</c:f>
              <c:numCache>
                <c:formatCode>0</c:formatCode>
                <c:ptCount val="21"/>
                <c:pt idx="0">
                  <c:v>356</c:v>
                </c:pt>
                <c:pt idx="2">
                  <c:v>364</c:v>
                </c:pt>
                <c:pt idx="3">
                  <c:v>284</c:v>
                </c:pt>
                <c:pt idx="4">
                  <c:v>160</c:v>
                </c:pt>
                <c:pt idx="7">
                  <c:v>440</c:v>
                </c:pt>
                <c:pt idx="8">
                  <c:v>234</c:v>
                </c:pt>
                <c:pt idx="11">
                  <c:v>255</c:v>
                </c:pt>
                <c:pt idx="12">
                  <c:v>401</c:v>
                </c:pt>
                <c:pt idx="13">
                  <c:v>152</c:v>
                </c:pt>
                <c:pt idx="15">
                  <c:v>663</c:v>
                </c:pt>
                <c:pt idx="16">
                  <c:v>168</c:v>
                </c:pt>
                <c:pt idx="17">
                  <c:v>452</c:v>
                </c:pt>
                <c:pt idx="18">
                  <c:v>303</c:v>
                </c:pt>
                <c:pt idx="19">
                  <c:v>195</c:v>
                </c:pt>
                <c:pt idx="20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034896"/>
        <c:axId val="-804032720"/>
      </c:scatterChart>
      <c:scatterChart>
        <c:scatterStyle val="lineMarker"/>
        <c:varyColors val="0"/>
        <c:ser>
          <c:idx val="2"/>
          <c:order val="2"/>
          <c:tx>
            <c:strRef>
              <c:f>Sheet2!$AC$1</c:f>
              <c:strCache>
                <c:ptCount val="1"/>
                <c:pt idx="0">
                  <c:v>Chi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Sheet2!$AC$2:$AC$22</c:f>
              <c:numCache>
                <c:formatCode>0.00_);[Red]\(0.00\)</c:formatCode>
                <c:ptCount val="21"/>
                <c:pt idx="0">
                  <c:v>7.47607</c:v>
                </c:pt>
                <c:pt idx="2">
                  <c:v>1.386736</c:v>
                </c:pt>
                <c:pt idx="3">
                  <c:v>3.0859009999999998</c:v>
                </c:pt>
                <c:pt idx="4">
                  <c:v>1.757935</c:v>
                </c:pt>
                <c:pt idx="7">
                  <c:v>7.1809409999999998</c:v>
                </c:pt>
                <c:pt idx="8">
                  <c:v>4.9772249999999998</c:v>
                </c:pt>
                <c:pt idx="11">
                  <c:v>3.1546439999999998</c:v>
                </c:pt>
                <c:pt idx="12">
                  <c:v>5.4581480000000004</c:v>
                </c:pt>
                <c:pt idx="13">
                  <c:v>2.711325</c:v>
                </c:pt>
                <c:pt idx="15">
                  <c:v>3.1459820000000001</c:v>
                </c:pt>
                <c:pt idx="16">
                  <c:v>5.9526529999999998</c:v>
                </c:pt>
                <c:pt idx="17">
                  <c:v>1.8301559999999999</c:v>
                </c:pt>
                <c:pt idx="18" formatCode="0.00_ ">
                  <c:v>1.906304</c:v>
                </c:pt>
                <c:pt idx="19" formatCode="0.00_ ">
                  <c:v>3.9051490000000002</c:v>
                </c:pt>
                <c:pt idx="20" formatCode="0.00_ ">
                  <c:v>2.374952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034352"/>
        <c:axId val="-804039248"/>
      </c:scatterChart>
      <c:valAx>
        <c:axId val="-804034896"/>
        <c:scaling>
          <c:orientation val="minMax"/>
          <c:max val="2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2720"/>
        <c:crosses val="autoZero"/>
        <c:crossBetween val="midCat"/>
        <c:majorUnit val="4"/>
        <c:minorUnit val="1"/>
      </c:valAx>
      <c:valAx>
        <c:axId val="-804032720"/>
        <c:scaling>
          <c:orientation val="minMax"/>
          <c:max val="2400"/>
          <c:min val="0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4896"/>
        <c:crosses val="autoZero"/>
        <c:crossBetween val="midCat"/>
        <c:majorUnit val="400"/>
        <c:minorUnit val="100"/>
      </c:valAx>
      <c:valAx>
        <c:axId val="-804039248"/>
        <c:scaling>
          <c:orientation val="minMax"/>
          <c:max val="12"/>
          <c:min val="-12"/>
        </c:scaling>
        <c:delete val="0"/>
        <c:axPos val="r"/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4352"/>
        <c:crosses val="max"/>
        <c:crossBetween val="midCat"/>
        <c:majorUnit val="2"/>
      </c:valAx>
      <c:valAx>
        <c:axId val="-80403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403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75962379702523"/>
          <c:y val="1.3301983085447664E-3"/>
          <c:w val="0.1441292650918635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ksn-裂点下切幅度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015091863517062E-2"/>
                  <c:y val="0.10499161563137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Sheet2!$W$2:$W$22</c:f>
              <c:numCache>
                <c:formatCode>0.00_);[Red]\(0.00\)</c:formatCode>
                <c:ptCount val="21"/>
                <c:pt idx="0">
                  <c:v>103.012655</c:v>
                </c:pt>
                <c:pt idx="2">
                  <c:v>255.91900000000001</c:v>
                </c:pt>
                <c:pt idx="3">
                  <c:v>149.638644</c:v>
                </c:pt>
                <c:pt idx="4">
                  <c:v>139.71823699999999</c:v>
                </c:pt>
                <c:pt idx="7">
                  <c:v>135.229241</c:v>
                </c:pt>
                <c:pt idx="8">
                  <c:v>132.754212</c:v>
                </c:pt>
                <c:pt idx="11">
                  <c:v>178.531893</c:v>
                </c:pt>
                <c:pt idx="12">
                  <c:v>179.73496800000001</c:v>
                </c:pt>
                <c:pt idx="13">
                  <c:v>187.10244299999999</c:v>
                </c:pt>
                <c:pt idx="15">
                  <c:v>297</c:v>
                </c:pt>
                <c:pt idx="16">
                  <c:v>148.71703199999999</c:v>
                </c:pt>
                <c:pt idx="17">
                  <c:v>393.13236599999999</c:v>
                </c:pt>
                <c:pt idx="18" formatCode="0.00_ ">
                  <c:v>314.63161200000002</c:v>
                </c:pt>
                <c:pt idx="19" formatCode="0.00_ ">
                  <c:v>144.52812900000001</c:v>
                </c:pt>
                <c:pt idx="20" formatCode="0.00_ ">
                  <c:v>133.25202999999999</c:v>
                </c:pt>
              </c:numCache>
            </c:numRef>
          </c:xVal>
          <c:yVal>
            <c:numRef>
              <c:f>Sheet2!$AH$2:$AH$22</c:f>
              <c:numCache>
                <c:formatCode>0</c:formatCode>
                <c:ptCount val="21"/>
                <c:pt idx="0">
                  <c:v>356</c:v>
                </c:pt>
                <c:pt idx="2">
                  <c:v>364</c:v>
                </c:pt>
                <c:pt idx="3">
                  <c:v>284</c:v>
                </c:pt>
                <c:pt idx="4">
                  <c:v>160</c:v>
                </c:pt>
                <c:pt idx="7">
                  <c:v>440</c:v>
                </c:pt>
                <c:pt idx="8">
                  <c:v>234</c:v>
                </c:pt>
                <c:pt idx="11">
                  <c:v>255</c:v>
                </c:pt>
                <c:pt idx="12">
                  <c:v>401</c:v>
                </c:pt>
                <c:pt idx="13">
                  <c:v>152</c:v>
                </c:pt>
                <c:pt idx="15">
                  <c:v>663</c:v>
                </c:pt>
                <c:pt idx="16">
                  <c:v>168</c:v>
                </c:pt>
                <c:pt idx="17">
                  <c:v>452</c:v>
                </c:pt>
                <c:pt idx="18">
                  <c:v>303</c:v>
                </c:pt>
                <c:pt idx="19">
                  <c:v>195</c:v>
                </c:pt>
                <c:pt idx="20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035984"/>
        <c:axId val="-804038704"/>
      </c:scatterChart>
      <c:scatterChart>
        <c:scatterStyle val="lineMarker"/>
        <c:varyColors val="0"/>
        <c:ser>
          <c:idx val="1"/>
          <c:order val="1"/>
          <c:tx>
            <c:v>ksn-chi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66557305336833"/>
                  <c:y val="-0.14273950131233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Sheet2!$W$2:$W$22</c:f>
              <c:numCache>
                <c:formatCode>0.00_);[Red]\(0.00\)</c:formatCode>
                <c:ptCount val="21"/>
                <c:pt idx="0">
                  <c:v>103.012655</c:v>
                </c:pt>
                <c:pt idx="2">
                  <c:v>255.91900000000001</c:v>
                </c:pt>
                <c:pt idx="3">
                  <c:v>149.638644</c:v>
                </c:pt>
                <c:pt idx="4">
                  <c:v>139.71823699999999</c:v>
                </c:pt>
                <c:pt idx="7">
                  <c:v>135.229241</c:v>
                </c:pt>
                <c:pt idx="8">
                  <c:v>132.754212</c:v>
                </c:pt>
                <c:pt idx="11">
                  <c:v>178.531893</c:v>
                </c:pt>
                <c:pt idx="12">
                  <c:v>179.73496800000001</c:v>
                </c:pt>
                <c:pt idx="13">
                  <c:v>187.10244299999999</c:v>
                </c:pt>
                <c:pt idx="15">
                  <c:v>297</c:v>
                </c:pt>
                <c:pt idx="16">
                  <c:v>148.71703199999999</c:v>
                </c:pt>
                <c:pt idx="17">
                  <c:v>393.13236599999999</c:v>
                </c:pt>
                <c:pt idx="18" formatCode="0.00_ ">
                  <c:v>314.63161200000002</c:v>
                </c:pt>
                <c:pt idx="19" formatCode="0.00_ ">
                  <c:v>144.52812900000001</c:v>
                </c:pt>
                <c:pt idx="20" formatCode="0.00_ ">
                  <c:v>133.25202999999999</c:v>
                </c:pt>
              </c:numCache>
            </c:numRef>
          </c:xVal>
          <c:yVal>
            <c:numRef>
              <c:f>Sheet2!$AC$2:$AC$22</c:f>
              <c:numCache>
                <c:formatCode>0.00_);[Red]\(0.00\)</c:formatCode>
                <c:ptCount val="21"/>
                <c:pt idx="0">
                  <c:v>7.47607</c:v>
                </c:pt>
                <c:pt idx="2">
                  <c:v>1.386736</c:v>
                </c:pt>
                <c:pt idx="3">
                  <c:v>3.0859009999999998</c:v>
                </c:pt>
                <c:pt idx="4">
                  <c:v>1.757935</c:v>
                </c:pt>
                <c:pt idx="7">
                  <c:v>7.1809409999999998</c:v>
                </c:pt>
                <c:pt idx="8">
                  <c:v>4.9772249999999998</c:v>
                </c:pt>
                <c:pt idx="11">
                  <c:v>3.1546439999999998</c:v>
                </c:pt>
                <c:pt idx="12">
                  <c:v>5.4581480000000004</c:v>
                </c:pt>
                <c:pt idx="13">
                  <c:v>2.711325</c:v>
                </c:pt>
                <c:pt idx="15">
                  <c:v>3.1459820000000001</c:v>
                </c:pt>
                <c:pt idx="16">
                  <c:v>5.9526529999999998</c:v>
                </c:pt>
                <c:pt idx="17">
                  <c:v>1.8301559999999999</c:v>
                </c:pt>
                <c:pt idx="18" formatCode="0.00_ ">
                  <c:v>1.906304</c:v>
                </c:pt>
                <c:pt idx="19" formatCode="0.00_ ">
                  <c:v>3.9051490000000002</c:v>
                </c:pt>
                <c:pt idx="20" formatCode="0.00_ ">
                  <c:v>2.374952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036528"/>
        <c:axId val="-804037072"/>
      </c:scatterChart>
      <c:valAx>
        <c:axId val="-804035984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下游</a:t>
                </a:r>
                <a:r>
                  <a:rPr lang="en-US" altLang="zh-CN"/>
                  <a:t>ksn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8704"/>
        <c:crossesAt val="-400"/>
        <c:crossBetween val="midCat"/>
      </c:valAx>
      <c:valAx>
        <c:axId val="-804038704"/>
        <c:scaling>
          <c:orientation val="minMax"/>
          <c:min val="-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裂点下切深度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5984"/>
        <c:crosses val="autoZero"/>
        <c:crossBetween val="midCat"/>
      </c:valAx>
      <c:valAx>
        <c:axId val="-804037072"/>
        <c:scaling>
          <c:orientation val="minMax"/>
          <c:max val="20"/>
        </c:scaling>
        <c:delete val="0"/>
        <c:axPos val="r"/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6528"/>
        <c:crosses val="max"/>
        <c:crossBetween val="midCat"/>
      </c:valAx>
      <c:valAx>
        <c:axId val="-804036528"/>
        <c:scaling>
          <c:orientation val="minMax"/>
        </c:scaling>
        <c:delete val="1"/>
        <c:axPos val="b"/>
        <c:numFmt formatCode="0.00_);[Red]\(0.00\)" sourceLinked="1"/>
        <c:majorTickMark val="out"/>
        <c:minorTickMark val="none"/>
        <c:tickLblPos val="nextTo"/>
        <c:crossAx val="-80403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1181102362186771E-5"/>
          <c:y val="3.3559346748323125E-3"/>
          <c:w val="0.39469444444444446"/>
          <c:h val="0.513893263342082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Sheet2!$AF$1</c:f>
              <c:strCache>
                <c:ptCount val="1"/>
                <c:pt idx="0">
                  <c:v>EDn_mm/a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Sheet2!$AF$2:$AF$22</c:f>
              <c:numCache>
                <c:formatCode>0.00_);[Red]\(0.00\)</c:formatCode>
                <c:ptCount val="21"/>
                <c:pt idx="0">
                  <c:v>1.5224272519565589</c:v>
                </c:pt>
                <c:pt idx="2">
                  <c:v>2.399620282461373</c:v>
                </c:pt>
                <c:pt idx="3">
                  <c:v>1.8349031282332045</c:v>
                </c:pt>
                <c:pt idx="4">
                  <c:v>1.7730370364152011</c:v>
                </c:pt>
                <c:pt idx="7">
                  <c:v>1.7443216224366422</c:v>
                </c:pt>
                <c:pt idx="8">
                  <c:v>1.7282852108376092</c:v>
                </c:pt>
                <c:pt idx="11">
                  <c:v>2.0042374092157842</c:v>
                </c:pt>
                <c:pt idx="12">
                  <c:v>2.0109790600600492</c:v>
                </c:pt>
                <c:pt idx="13">
                  <c:v>2.0517809258056765</c:v>
                </c:pt>
                <c:pt idx="15">
                  <c:v>2.5850531909421126</c:v>
                </c:pt>
                <c:pt idx="16">
                  <c:v>1.8292438929787356</c:v>
                </c:pt>
                <c:pt idx="17">
                  <c:v>2.9741348716895808</c:v>
                </c:pt>
                <c:pt idx="18">
                  <c:v>2.6606787235590845</c:v>
                </c:pt>
                <c:pt idx="19">
                  <c:v>1.8032977853089047</c:v>
                </c:pt>
                <c:pt idx="20">
                  <c:v>1.7315226464011377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Sheet2!$AG$1</c:f>
              <c:strCache>
                <c:ptCount val="1"/>
                <c:pt idx="0">
                  <c:v>EUp_mm/a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Sheet2!$AG$2:$AG$22</c:f>
              <c:numCache>
                <c:formatCode>0.00_);[Red]\(0.00\)</c:formatCode>
                <c:ptCount val="21"/>
                <c:pt idx="0">
                  <c:v>1.0608732476125504</c:v>
                </c:pt>
                <c:pt idx="2">
                  <c:v>1.1509264235823244</c:v>
                </c:pt>
                <c:pt idx="3">
                  <c:v>1.1364038212712944</c:v>
                </c:pt>
                <c:pt idx="4">
                  <c:v>1.1443682165282292</c:v>
                </c:pt>
                <c:pt idx="7">
                  <c:v>1.2894865228066559</c:v>
                </c:pt>
                <c:pt idx="8">
                  <c:v>1.3836673552555903</c:v>
                </c:pt>
                <c:pt idx="11">
                  <c:v>1.5219063054275055</c:v>
                </c:pt>
                <c:pt idx="12">
                  <c:v>1.5978094629836186</c:v>
                </c:pt>
                <c:pt idx="13">
                  <c:v>1.6908274926792501</c:v>
                </c:pt>
                <c:pt idx="15">
                  <c:v>1.1905880899790657</c:v>
                </c:pt>
                <c:pt idx="16">
                  <c:v>1.623124223526961</c:v>
                </c:pt>
                <c:pt idx="17">
                  <c:v>1.3319481408823692</c:v>
                </c:pt>
                <c:pt idx="18">
                  <c:v>1.6867086411114398</c:v>
                </c:pt>
                <c:pt idx="19">
                  <c:v>1.4741146266488234</c:v>
                </c:pt>
                <c:pt idx="20">
                  <c:v>1.5518773244042197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033264"/>
        <c:axId val="-798128336"/>
      </c:scatterChart>
      <c:scatterChart>
        <c:scatterStyle val="lineMarker"/>
        <c:varyColors val="0"/>
        <c:ser>
          <c:idx val="2"/>
          <c:order val="2"/>
          <c:tx>
            <c:strRef>
              <c:f>Sheet2!$AE$1</c:f>
              <c:strCache>
                <c:ptCount val="1"/>
                <c:pt idx="0">
                  <c:v>裂点年龄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Sheet2!$AE$2:$AE$22</c:f>
              <c:numCache>
                <c:formatCode>0.00_);[Red]\(0.00\)</c:formatCode>
                <c:ptCount val="21"/>
                <c:pt idx="0">
                  <c:v>0.7713073587260304</c:v>
                </c:pt>
                <c:pt idx="2">
                  <c:v>0.29150459691277936</c:v>
                </c:pt>
                <c:pt idx="3">
                  <c:v>0.40658594385045943</c:v>
                </c:pt>
                <c:pt idx="4">
                  <c:v>0.25450602119692584</c:v>
                </c:pt>
                <c:pt idx="7">
                  <c:v>0.96738356463242414</c:v>
                </c:pt>
                <c:pt idx="8">
                  <c:v>0.67901298847328029</c:v>
                </c:pt>
                <c:pt idx="11">
                  <c:v>0.52868247143342706</c:v>
                </c:pt>
                <c:pt idx="12">
                  <c:v>0.97054575853949043</c:v>
                </c:pt>
                <c:pt idx="13">
                  <c:v>0.42110695189526287</c:v>
                </c:pt>
                <c:pt idx="15">
                  <c:v>0.47545112426414854</c:v>
                </c:pt>
                <c:pt idx="16">
                  <c:v>0.8150604959091815</c:v>
                </c:pt>
                <c:pt idx="17">
                  <c:v>0.27524275499280215</c:v>
                </c:pt>
                <c:pt idx="18">
                  <c:v>0.31109785142326241</c:v>
                </c:pt>
                <c:pt idx="19">
                  <c:v>0.59237538394653855</c:v>
                </c:pt>
                <c:pt idx="20">
                  <c:v>0.46202149367086731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125072"/>
        <c:axId val="-798123440"/>
      </c:scatterChart>
      <c:valAx>
        <c:axId val="-8040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河流编号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8336"/>
        <c:crosses val="autoZero"/>
        <c:crossBetween val="midCat"/>
      </c:valAx>
      <c:valAx>
        <c:axId val="-79812833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04033264"/>
        <c:crosses val="autoZero"/>
        <c:crossBetween val="midCat"/>
      </c:valAx>
      <c:valAx>
        <c:axId val="-798123440"/>
        <c:scaling>
          <c:orientation val="minMax"/>
          <c:max val="4"/>
        </c:scaling>
        <c:delete val="0"/>
        <c:axPos val="r"/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5072"/>
        <c:crosses val="max"/>
        <c:crossBetween val="midCat"/>
        <c:majorUnit val="0.2"/>
      </c:valAx>
      <c:valAx>
        <c:axId val="-79812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812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8009623797024"/>
          <c:y val="6.7996864975211443E-2"/>
          <c:w val="0.1595323709536307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现今起伏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Sheet2!$Q$2:$Q$22</c:f>
              <c:numCache>
                <c:formatCode>0</c:formatCode>
                <c:ptCount val="21"/>
                <c:pt idx="0">
                  <c:v>1055</c:v>
                </c:pt>
                <c:pt idx="2">
                  <c:v>1048</c:v>
                </c:pt>
                <c:pt idx="3">
                  <c:v>885</c:v>
                </c:pt>
                <c:pt idx="4">
                  <c:v>755</c:v>
                </c:pt>
                <c:pt idx="7">
                  <c:v>1420</c:v>
                </c:pt>
                <c:pt idx="8">
                  <c:v>1178</c:v>
                </c:pt>
                <c:pt idx="11">
                  <c:v>1323</c:v>
                </c:pt>
                <c:pt idx="12">
                  <c:v>1630</c:v>
                </c:pt>
                <c:pt idx="13">
                  <c:v>938</c:v>
                </c:pt>
                <c:pt idx="15">
                  <c:v>1575</c:v>
                </c:pt>
                <c:pt idx="16">
                  <c:v>1282</c:v>
                </c:pt>
                <c:pt idx="17">
                  <c:v>1471</c:v>
                </c:pt>
                <c:pt idx="18">
                  <c:v>1360</c:v>
                </c:pt>
                <c:pt idx="19">
                  <c:v>1001</c:v>
                </c:pt>
                <c:pt idx="20">
                  <c:v>1095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古起伏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Sheet2!$O$2:$O$22</c:f>
              <c:numCache>
                <c:formatCode>General</c:formatCode>
                <c:ptCount val="21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7">
                  <c:v>7</c:v>
                </c:pt>
                <c:pt idx="8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Sheet2!$R$2:$R$22</c:f>
              <c:numCache>
                <c:formatCode>0</c:formatCode>
                <c:ptCount val="21"/>
                <c:pt idx="0">
                  <c:v>699</c:v>
                </c:pt>
                <c:pt idx="2">
                  <c:v>684</c:v>
                </c:pt>
                <c:pt idx="3">
                  <c:v>601</c:v>
                </c:pt>
                <c:pt idx="4">
                  <c:v>595</c:v>
                </c:pt>
                <c:pt idx="7">
                  <c:v>980</c:v>
                </c:pt>
                <c:pt idx="8">
                  <c:v>944</c:v>
                </c:pt>
                <c:pt idx="11">
                  <c:v>1068</c:v>
                </c:pt>
                <c:pt idx="12">
                  <c:v>1229</c:v>
                </c:pt>
                <c:pt idx="13">
                  <c:v>786</c:v>
                </c:pt>
                <c:pt idx="15">
                  <c:v>912</c:v>
                </c:pt>
                <c:pt idx="16">
                  <c:v>1114</c:v>
                </c:pt>
                <c:pt idx="17">
                  <c:v>1019</c:v>
                </c:pt>
                <c:pt idx="18">
                  <c:v>1057</c:v>
                </c:pt>
                <c:pt idx="19">
                  <c:v>806</c:v>
                </c:pt>
                <c:pt idx="20">
                  <c:v>1012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8127792"/>
        <c:axId val="-798129424"/>
      </c:scatterChart>
      <c:valAx>
        <c:axId val="-798127792"/>
        <c:scaling>
          <c:orientation val="minMax"/>
          <c:max val="2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9424"/>
        <c:crosses val="autoZero"/>
        <c:crossBetween val="midCat"/>
        <c:majorUnit val="4"/>
      </c:valAx>
      <c:valAx>
        <c:axId val="-798129424"/>
        <c:scaling>
          <c:orientation val="minMax"/>
          <c:max val="2400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127792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9295713035858"/>
          <c:y val="0.6302077865266843"/>
          <c:w val="0.1441292650918635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26</xdr:row>
      <xdr:rowOff>49530</xdr:rowOff>
    </xdr:from>
    <xdr:to>
      <xdr:col>22</xdr:col>
      <xdr:colOff>312420</xdr:colOff>
      <xdr:row>41</xdr:row>
      <xdr:rowOff>49530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43</xdr:row>
      <xdr:rowOff>45720</xdr:rowOff>
    </xdr:from>
    <xdr:to>
      <xdr:col>22</xdr:col>
      <xdr:colOff>251460</xdr:colOff>
      <xdr:row>58</xdr:row>
      <xdr:rowOff>45720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114300</xdr:colOff>
      <xdr:row>25</xdr:row>
      <xdr:rowOff>53340</xdr:rowOff>
    </xdr:from>
    <xdr:to>
      <xdr:col>30</xdr:col>
      <xdr:colOff>464820</xdr:colOff>
      <xdr:row>40</xdr:row>
      <xdr:rowOff>53340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617220</xdr:colOff>
      <xdr:row>24</xdr:row>
      <xdr:rowOff>26670</xdr:rowOff>
    </xdr:from>
    <xdr:to>
      <xdr:col>42</xdr:col>
      <xdr:colOff>220980</xdr:colOff>
      <xdr:row>39</xdr:row>
      <xdr:rowOff>26670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152400</xdr:colOff>
      <xdr:row>56</xdr:row>
      <xdr:rowOff>68580</xdr:rowOff>
    </xdr:from>
    <xdr:to>
      <xdr:col>42</xdr:col>
      <xdr:colOff>411480</xdr:colOff>
      <xdr:row>71</xdr:row>
      <xdr:rowOff>68580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426720</xdr:colOff>
      <xdr:row>32</xdr:row>
      <xdr:rowOff>156210</xdr:rowOff>
    </xdr:from>
    <xdr:to>
      <xdr:col>32</xdr:col>
      <xdr:colOff>121920</xdr:colOff>
      <xdr:row>47</xdr:row>
      <xdr:rowOff>156210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464820</xdr:colOff>
      <xdr:row>40</xdr:row>
      <xdr:rowOff>156210</xdr:rowOff>
    </xdr:from>
    <xdr:to>
      <xdr:col>45</xdr:col>
      <xdr:colOff>563880</xdr:colOff>
      <xdr:row>55</xdr:row>
      <xdr:rowOff>156210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601980</xdr:colOff>
      <xdr:row>42</xdr:row>
      <xdr:rowOff>110490</xdr:rowOff>
    </xdr:from>
    <xdr:to>
      <xdr:col>33</xdr:col>
      <xdr:colOff>297180</xdr:colOff>
      <xdr:row>57</xdr:row>
      <xdr:rowOff>110490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518160</xdr:colOff>
      <xdr:row>27</xdr:row>
      <xdr:rowOff>41910</xdr:rowOff>
    </xdr:from>
    <xdr:to>
      <xdr:col>34</xdr:col>
      <xdr:colOff>213360</xdr:colOff>
      <xdr:row>42</xdr:row>
      <xdr:rowOff>41910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26</xdr:row>
      <xdr:rowOff>49530</xdr:rowOff>
    </xdr:from>
    <xdr:to>
      <xdr:col>22</xdr:col>
      <xdr:colOff>312420</xdr:colOff>
      <xdr:row>41</xdr:row>
      <xdr:rowOff>49530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pane ySplit="1" topLeftCell="A38" activePane="bottomLeft" state="frozen"/>
      <selection pane="bottomLeft" sqref="A1:N66"/>
    </sheetView>
  </sheetViews>
  <sheetFormatPr defaultRowHeight="14.4" x14ac:dyDescent="0.25"/>
  <cols>
    <col min="1" max="2" width="3.77734375" style="1" customWidth="1"/>
    <col min="3" max="4" width="9.77734375" style="2" customWidth="1"/>
    <col min="5" max="5" width="11.77734375" style="2" customWidth="1"/>
    <col min="6" max="6" width="9.77734375" style="2" customWidth="1"/>
    <col min="7" max="7" width="11.77734375" style="2" customWidth="1"/>
    <col min="8" max="8" width="9.77734375" style="2" customWidth="1"/>
    <col min="9" max="10" width="10.77734375" style="2" customWidth="1"/>
    <col min="11" max="12" width="5.77734375" style="1" customWidth="1"/>
    <col min="13" max="13" width="13.77734375" style="2" customWidth="1"/>
    <col min="14" max="14" width="10.77734375" style="2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1">
        <v>0</v>
      </c>
      <c r="B2" s="1">
        <v>4</v>
      </c>
      <c r="C2" s="2">
        <v>-2.5727250000000002</v>
      </c>
      <c r="D2" s="2">
        <v>0.39487299999999997</v>
      </c>
      <c r="E2" s="2">
        <v>102.396297</v>
      </c>
      <c r="F2" s="2">
        <v>1.8551569999999999</v>
      </c>
      <c r="G2" s="2">
        <v>17.091366000000001</v>
      </c>
      <c r="H2" s="2">
        <v>7.8683839999999998</v>
      </c>
      <c r="I2" s="2">
        <v>362.20040299999999</v>
      </c>
      <c r="J2" s="2">
        <v>498.48097899999999</v>
      </c>
      <c r="K2" s="1">
        <v>812</v>
      </c>
      <c r="L2" s="1">
        <v>516</v>
      </c>
      <c r="M2" s="2">
        <v>22617.504205000001</v>
      </c>
      <c r="N2" s="2">
        <v>2.969948</v>
      </c>
    </row>
    <row r="3" spans="1:14" x14ac:dyDescent="0.25">
      <c r="A3" s="1">
        <v>0</v>
      </c>
      <c r="B3" s="1">
        <v>4</v>
      </c>
      <c r="C3" s="2">
        <v>-0.48052800000000001</v>
      </c>
      <c r="D3" s="2">
        <v>8.1442000000000001E-2</v>
      </c>
      <c r="E3" s="2">
        <v>103.012655</v>
      </c>
      <c r="F3" s="2">
        <v>0.44234099999999998</v>
      </c>
      <c r="G3" s="2">
        <v>100.087926</v>
      </c>
      <c r="H3" s="2">
        <v>1.663084</v>
      </c>
      <c r="I3" s="2">
        <v>32.797029000000002</v>
      </c>
      <c r="J3" s="2">
        <v>362.20040299999999</v>
      </c>
      <c r="K3" s="1">
        <v>1251</v>
      </c>
      <c r="L3" s="1">
        <v>812</v>
      </c>
      <c r="M3" s="2">
        <v>39845.096448999997</v>
      </c>
      <c r="N3" s="2">
        <v>7.47607</v>
      </c>
    </row>
    <row r="4" spans="1:14" x14ac:dyDescent="0.25">
      <c r="A4" s="1">
        <v>0</v>
      </c>
      <c r="B4" s="1">
        <v>4</v>
      </c>
      <c r="C4" s="2">
        <v>-0.38076900000000002</v>
      </c>
      <c r="D4" s="2">
        <v>3.9232999999999997E-2</v>
      </c>
      <c r="E4" s="2">
        <v>50.020091000000001</v>
      </c>
      <c r="F4" s="2">
        <v>0.31306</v>
      </c>
      <c r="G4" s="2">
        <v>46.889100999999997</v>
      </c>
      <c r="H4" s="2">
        <v>1.0795079999999999</v>
      </c>
      <c r="I4" s="2">
        <v>0.57067900000000005</v>
      </c>
      <c r="J4" s="2">
        <v>32.797029000000002</v>
      </c>
      <c r="K4" s="1">
        <v>1571</v>
      </c>
      <c r="L4" s="1">
        <v>1251</v>
      </c>
      <c r="M4" s="2">
        <v>48125.938644000002</v>
      </c>
      <c r="N4" s="2">
        <v>14.12801</v>
      </c>
    </row>
    <row r="5" spans="1:14" x14ac:dyDescent="0.25">
      <c r="A5" s="1">
        <v>0</v>
      </c>
      <c r="B5" s="1">
        <v>6</v>
      </c>
      <c r="C5" s="2">
        <v>-8.9215499999999999</v>
      </c>
      <c r="D5" s="2">
        <v>3.1297830000000002</v>
      </c>
      <c r="E5" s="2">
        <v>255.91900000000001</v>
      </c>
      <c r="F5" s="2">
        <v>1.722105</v>
      </c>
      <c r="G5" s="2">
        <v>256.72194400000001</v>
      </c>
      <c r="H5" s="2">
        <v>2.8117260000000002</v>
      </c>
      <c r="I5" s="2">
        <v>190.98807300000001</v>
      </c>
      <c r="J5" s="2">
        <v>206.62106800000001</v>
      </c>
      <c r="K5" s="1">
        <v>963</v>
      </c>
      <c r="L5" s="1">
        <v>603</v>
      </c>
      <c r="M5" s="2">
        <v>7546.9992069999998</v>
      </c>
      <c r="N5" s="2">
        <v>1.386736</v>
      </c>
    </row>
    <row r="6" spans="1:14" x14ac:dyDescent="0.25">
      <c r="A6" s="1">
        <v>0</v>
      </c>
      <c r="B6" s="1">
        <v>6</v>
      </c>
      <c r="C6" s="2">
        <v>0.109211</v>
      </c>
      <c r="D6" s="2">
        <v>9.4449000000000005E-2</v>
      </c>
      <c r="E6" s="2">
        <v>58.872517000000002</v>
      </c>
      <c r="F6" s="2">
        <v>0.756166</v>
      </c>
      <c r="G6" s="2">
        <v>28.942478000000001</v>
      </c>
      <c r="H6" s="2">
        <v>2.9727839999999999</v>
      </c>
      <c r="I6" s="2">
        <v>41.837398999999998</v>
      </c>
      <c r="J6" s="2">
        <v>190.98807300000001</v>
      </c>
      <c r="K6" s="1">
        <v>1212</v>
      </c>
      <c r="L6" s="1">
        <v>963</v>
      </c>
      <c r="M6" s="2">
        <v>26746.929077000001</v>
      </c>
      <c r="N6" s="2">
        <v>5.9173819999999999</v>
      </c>
    </row>
    <row r="7" spans="1:14" x14ac:dyDescent="0.25">
      <c r="A7" s="1">
        <v>0</v>
      </c>
      <c r="B7" s="1">
        <v>6</v>
      </c>
      <c r="C7" s="2">
        <v>-0.63939100000000004</v>
      </c>
      <c r="D7" s="2">
        <v>2.4382000000000001E-2</v>
      </c>
      <c r="E7" s="2">
        <v>39.204349000000001</v>
      </c>
      <c r="F7" s="2">
        <v>0.77903599999999995</v>
      </c>
      <c r="G7" s="2">
        <v>32.032300999999997</v>
      </c>
      <c r="H7" s="2">
        <v>3.9039670000000002</v>
      </c>
      <c r="I7" s="2">
        <v>0.15757599999999999</v>
      </c>
      <c r="J7" s="2">
        <v>41.837398999999998</v>
      </c>
      <c r="K7" s="1">
        <v>1651</v>
      </c>
      <c r="L7" s="1">
        <v>1212</v>
      </c>
      <c r="M7" s="2">
        <v>37577.263844000001</v>
      </c>
      <c r="N7" s="2">
        <v>16.223047000000001</v>
      </c>
    </row>
    <row r="8" spans="1:14" x14ac:dyDescent="0.25">
      <c r="A8" s="1">
        <v>0</v>
      </c>
      <c r="B8" s="1">
        <v>7</v>
      </c>
      <c r="C8" s="2">
        <v>-2.5805000000000002E-2</v>
      </c>
      <c r="D8" s="2">
        <v>0.40816799999999998</v>
      </c>
      <c r="E8" s="2">
        <v>149.638644</v>
      </c>
      <c r="F8" s="2">
        <v>0.65706200000000003</v>
      </c>
      <c r="G8" s="2">
        <v>148.239045</v>
      </c>
      <c r="H8" s="2">
        <v>1.886517</v>
      </c>
      <c r="I8" s="2">
        <v>41.293337000000001</v>
      </c>
      <c r="J8" s="2">
        <v>62.660808000000003</v>
      </c>
      <c r="K8" s="1">
        <v>1215</v>
      </c>
      <c r="L8" s="1">
        <v>763</v>
      </c>
      <c r="M8" s="2">
        <v>9235.0012260000003</v>
      </c>
      <c r="N8" s="2">
        <v>3.0859009999999998</v>
      </c>
    </row>
    <row r="9" spans="1:14" x14ac:dyDescent="0.25">
      <c r="A9" s="1">
        <v>0</v>
      </c>
      <c r="B9" s="1">
        <v>7</v>
      </c>
      <c r="C9" s="2">
        <v>6.4310999999999993E-2</v>
      </c>
      <c r="D9" s="2">
        <v>0.114997</v>
      </c>
      <c r="E9" s="2">
        <v>57.396161999999997</v>
      </c>
      <c r="F9" s="2">
        <v>0.57924500000000001</v>
      </c>
      <c r="G9" s="2">
        <v>53.053255</v>
      </c>
      <c r="H9" s="2">
        <v>1.779102</v>
      </c>
      <c r="I9" s="2">
        <v>11.437011</v>
      </c>
      <c r="J9" s="2">
        <v>41.293337000000001</v>
      </c>
      <c r="K9" s="1">
        <v>1390</v>
      </c>
      <c r="L9" s="1">
        <v>1215</v>
      </c>
      <c r="M9" s="2">
        <v>15311.377782</v>
      </c>
      <c r="N9" s="2">
        <v>5.9969770000000002</v>
      </c>
    </row>
    <row r="10" spans="1:14" x14ac:dyDescent="0.25">
      <c r="A10" s="1">
        <v>0</v>
      </c>
      <c r="B10" s="1">
        <v>7</v>
      </c>
      <c r="C10" s="2">
        <v>-0.40954600000000002</v>
      </c>
      <c r="D10" s="2">
        <v>2.1520999999999998E-2</v>
      </c>
      <c r="E10" s="2">
        <v>30.165521999999999</v>
      </c>
      <c r="F10" s="2">
        <v>0.13372899999999999</v>
      </c>
      <c r="G10" s="2">
        <v>29.657705</v>
      </c>
      <c r="H10" s="2">
        <v>0.35350199999999998</v>
      </c>
      <c r="I10" s="2">
        <v>8.7304999999999994E-2</v>
      </c>
      <c r="J10" s="2">
        <v>11.437011</v>
      </c>
      <c r="K10" s="1">
        <v>1648</v>
      </c>
      <c r="L10" s="1">
        <v>1390</v>
      </c>
      <c r="M10" s="2">
        <v>21131.088756000001</v>
      </c>
      <c r="N10" s="2">
        <v>14.897561</v>
      </c>
    </row>
    <row r="11" spans="1:14" x14ac:dyDescent="0.25">
      <c r="A11" s="1">
        <v>0</v>
      </c>
      <c r="B11" s="1">
        <v>8</v>
      </c>
      <c r="C11" s="2">
        <v>7.6530000000000001E-3</v>
      </c>
      <c r="D11" s="2">
        <v>1.337799</v>
      </c>
      <c r="E11" s="2">
        <v>139.71823699999999</v>
      </c>
      <c r="F11" s="2">
        <v>1.418431</v>
      </c>
      <c r="G11" s="2">
        <v>137.996174</v>
      </c>
      <c r="H11" s="2">
        <v>4.2118330000000004</v>
      </c>
      <c r="I11" s="2">
        <v>175.001598</v>
      </c>
      <c r="J11" s="2">
        <v>209.888633</v>
      </c>
      <c r="K11" s="1">
        <v>973</v>
      </c>
      <c r="L11" s="1">
        <v>723</v>
      </c>
      <c r="M11" s="2">
        <v>9458.8412840000001</v>
      </c>
      <c r="N11" s="2">
        <v>1.757935</v>
      </c>
    </row>
    <row r="12" spans="1:14" x14ac:dyDescent="0.25">
      <c r="A12" s="1">
        <v>0</v>
      </c>
      <c r="B12" s="1">
        <v>8</v>
      </c>
      <c r="C12" s="2">
        <v>-0.21132400000000001</v>
      </c>
      <c r="D12" s="2">
        <v>2.8570000000000002E-2</v>
      </c>
      <c r="E12" s="2">
        <v>58.203493999999999</v>
      </c>
      <c r="F12" s="2">
        <v>0.41419400000000001</v>
      </c>
      <c r="G12" s="2">
        <v>46.367829999999998</v>
      </c>
      <c r="H12" s="2">
        <v>1.9653890000000001</v>
      </c>
      <c r="I12" s="2">
        <v>14.946263</v>
      </c>
      <c r="J12" s="2">
        <v>175.001598</v>
      </c>
      <c r="K12" s="1">
        <v>1263</v>
      </c>
      <c r="L12" s="1">
        <v>973</v>
      </c>
      <c r="M12" s="2">
        <v>25539.824255</v>
      </c>
      <c r="N12" s="2">
        <v>6.6930690000000004</v>
      </c>
    </row>
    <row r="13" spans="1:14" x14ac:dyDescent="0.25">
      <c r="A13" s="1">
        <v>0</v>
      </c>
      <c r="B13" s="1">
        <v>8</v>
      </c>
      <c r="C13" s="2">
        <v>-0.42057899999999998</v>
      </c>
      <c r="D13" s="2">
        <v>2.2838000000000001E-2</v>
      </c>
      <c r="E13" s="2">
        <v>31.468686999999999</v>
      </c>
      <c r="F13" s="2">
        <v>0.201318</v>
      </c>
      <c r="G13" s="2">
        <v>30.824092</v>
      </c>
      <c r="H13" s="2">
        <v>0.69335999999999998</v>
      </c>
      <c r="I13" s="2">
        <v>0.15012300000000001</v>
      </c>
      <c r="J13" s="2">
        <v>14.946263</v>
      </c>
      <c r="K13" s="1">
        <v>1478</v>
      </c>
      <c r="L13" s="1">
        <v>1263</v>
      </c>
      <c r="M13" s="2">
        <v>30696.759827999998</v>
      </c>
      <c r="N13" s="2">
        <v>13.385482</v>
      </c>
    </row>
    <row r="14" spans="1:14" x14ac:dyDescent="0.25">
      <c r="A14" s="1">
        <v>0</v>
      </c>
      <c r="B14" s="1">
        <v>9</v>
      </c>
      <c r="C14" s="2">
        <v>-0.51664200000000005</v>
      </c>
      <c r="D14" s="2">
        <v>0.120478</v>
      </c>
      <c r="E14" s="2">
        <v>79.218328</v>
      </c>
      <c r="F14" s="2">
        <v>0.25791900000000001</v>
      </c>
      <c r="G14" s="2">
        <v>79.089400999999995</v>
      </c>
      <c r="H14" s="2">
        <v>0.50448199999999999</v>
      </c>
      <c r="I14" s="2">
        <v>35.317174000000001</v>
      </c>
      <c r="J14" s="2">
        <v>55.364417000000003</v>
      </c>
      <c r="K14" s="1">
        <v>986</v>
      </c>
      <c r="L14" s="1">
        <v>814</v>
      </c>
      <c r="M14" s="2">
        <v>6019.0134630000002</v>
      </c>
      <c r="N14" s="2">
        <v>2.1981039999999998</v>
      </c>
    </row>
    <row r="15" spans="1:14" x14ac:dyDescent="0.25">
      <c r="A15" s="1">
        <v>0</v>
      </c>
      <c r="B15" s="1">
        <v>9</v>
      </c>
      <c r="C15" s="2">
        <v>-0.43617299999999998</v>
      </c>
      <c r="D15" s="2">
        <v>1.6594999999999999E-2</v>
      </c>
      <c r="E15" s="2">
        <v>107.946134</v>
      </c>
      <c r="F15" s="2">
        <v>0.38336999999999999</v>
      </c>
      <c r="G15" s="2">
        <v>99.975110000000001</v>
      </c>
      <c r="H15" s="2">
        <v>1.9682820000000001</v>
      </c>
      <c r="I15" s="2">
        <v>0.108599</v>
      </c>
      <c r="J15" s="2">
        <v>35.317174000000001</v>
      </c>
      <c r="K15" s="1">
        <v>1971</v>
      </c>
      <c r="L15" s="1">
        <v>986</v>
      </c>
      <c r="M15" s="2">
        <v>15687.141937</v>
      </c>
      <c r="N15" s="2">
        <v>11.931744999999999</v>
      </c>
    </row>
    <row r="16" spans="1:14" x14ac:dyDescent="0.25">
      <c r="A16" s="1">
        <v>0</v>
      </c>
      <c r="B16" s="1">
        <v>10</v>
      </c>
      <c r="C16" s="2">
        <v>-0.42508400000000002</v>
      </c>
      <c r="D16" s="2">
        <v>1.9737000000000001E-2</v>
      </c>
      <c r="E16" s="2">
        <v>114.179106</v>
      </c>
      <c r="F16" s="2">
        <v>0.33393699999999998</v>
      </c>
      <c r="G16" s="2">
        <v>99.727135000000004</v>
      </c>
      <c r="H16" s="2">
        <v>2.355874</v>
      </c>
      <c r="I16" s="2">
        <v>0.15864</v>
      </c>
      <c r="J16" s="2">
        <v>30.077784000000001</v>
      </c>
      <c r="K16" s="1">
        <v>1930</v>
      </c>
      <c r="L16" s="1">
        <v>705</v>
      </c>
      <c r="M16" s="2">
        <v>14588.955206000001</v>
      </c>
      <c r="N16" s="2">
        <v>11.646239</v>
      </c>
    </row>
    <row r="17" spans="1:14" x14ac:dyDescent="0.25">
      <c r="A17" s="1">
        <v>0</v>
      </c>
      <c r="B17" s="1">
        <v>11</v>
      </c>
      <c r="C17" s="2">
        <v>-0.56769700000000001</v>
      </c>
      <c r="D17" s="2">
        <v>8.0033999999999994E-2</v>
      </c>
      <c r="E17" s="2">
        <v>135.229241</v>
      </c>
      <c r="F17" s="2">
        <v>0.45175599999999999</v>
      </c>
      <c r="G17" s="2">
        <v>132.296064</v>
      </c>
      <c r="H17" s="2">
        <v>2.4694310000000002</v>
      </c>
      <c r="I17" s="2">
        <v>5.3022080000000003</v>
      </c>
      <c r="J17" s="2">
        <v>31.35436</v>
      </c>
      <c r="K17" s="1">
        <v>1724</v>
      </c>
      <c r="L17" s="1">
        <v>746</v>
      </c>
      <c r="M17" s="2">
        <v>13360.053712999999</v>
      </c>
      <c r="N17" s="2">
        <v>7.1809409999999998</v>
      </c>
    </row>
    <row r="18" spans="1:14" x14ac:dyDescent="0.25">
      <c r="A18" s="1">
        <v>0</v>
      </c>
      <c r="B18" s="1">
        <v>11</v>
      </c>
      <c r="C18" s="2">
        <v>-0.42175299999999999</v>
      </c>
      <c r="D18" s="2">
        <v>5.3121000000000002E-2</v>
      </c>
      <c r="E18" s="2">
        <v>73.901133000000002</v>
      </c>
      <c r="F18" s="2">
        <v>0.67076499999999994</v>
      </c>
      <c r="G18" s="2">
        <v>65.847515000000001</v>
      </c>
      <c r="H18" s="2">
        <v>2.8710800000000001</v>
      </c>
      <c r="I18" s="2">
        <v>0.14586399999999999</v>
      </c>
      <c r="J18" s="2">
        <v>5.3022080000000003</v>
      </c>
      <c r="K18" s="1">
        <v>2166</v>
      </c>
      <c r="L18" s="1">
        <v>1724</v>
      </c>
      <c r="M18" s="2">
        <v>17100.401494999998</v>
      </c>
      <c r="N18" s="2">
        <v>13.664529999999999</v>
      </c>
    </row>
    <row r="19" spans="1:14" x14ac:dyDescent="0.25">
      <c r="A19" s="1">
        <v>0</v>
      </c>
      <c r="B19" s="1">
        <v>12</v>
      </c>
      <c r="C19" s="2">
        <v>-0.91233699999999995</v>
      </c>
      <c r="D19" s="2">
        <v>0.132711</v>
      </c>
      <c r="E19" s="2">
        <v>132.754212</v>
      </c>
      <c r="F19" s="2">
        <v>0.90982099999999999</v>
      </c>
      <c r="G19" s="2">
        <v>123.711358</v>
      </c>
      <c r="H19" s="2">
        <v>3.9105439999999998</v>
      </c>
      <c r="I19" s="2">
        <v>19.421199000000001</v>
      </c>
      <c r="J19" s="2">
        <v>115.176087</v>
      </c>
      <c r="K19" s="1">
        <v>1339</v>
      </c>
      <c r="L19" s="1">
        <v>685</v>
      </c>
      <c r="M19" s="2">
        <v>14200.726489000001</v>
      </c>
      <c r="N19" s="2">
        <v>4.9772249999999998</v>
      </c>
    </row>
    <row r="20" spans="1:14" x14ac:dyDescent="0.25">
      <c r="A20" s="1">
        <v>0</v>
      </c>
      <c r="B20" s="1">
        <v>12</v>
      </c>
      <c r="C20" s="2">
        <v>-0.39019700000000002</v>
      </c>
      <c r="D20" s="2">
        <v>7.3511000000000007E-2</v>
      </c>
      <c r="E20" s="2">
        <v>85.090459999999993</v>
      </c>
      <c r="F20" s="2">
        <v>0.95614900000000003</v>
      </c>
      <c r="G20" s="2">
        <v>70.037111999999993</v>
      </c>
      <c r="H20" s="2">
        <v>3.8331400000000002</v>
      </c>
      <c r="I20" s="2">
        <v>0.58665</v>
      </c>
      <c r="J20" s="2">
        <v>19.421199000000001</v>
      </c>
      <c r="K20" s="1">
        <v>1863</v>
      </c>
      <c r="L20" s="1">
        <v>1339</v>
      </c>
      <c r="M20" s="2">
        <v>19991.331729000001</v>
      </c>
      <c r="N20" s="2">
        <v>11.50567</v>
      </c>
    </row>
    <row r="21" spans="1:14" x14ac:dyDescent="0.25">
      <c r="A21" s="1">
        <v>0</v>
      </c>
      <c r="B21" s="1">
        <v>13</v>
      </c>
      <c r="C21" s="2">
        <v>-0.56287299999999996</v>
      </c>
      <c r="D21" s="2">
        <v>1.6326E-2</v>
      </c>
      <c r="E21" s="2">
        <v>122.642216</v>
      </c>
      <c r="F21" s="2">
        <v>0.658161</v>
      </c>
      <c r="G21" s="2">
        <v>122.635459</v>
      </c>
      <c r="H21" s="2">
        <v>5.161994</v>
      </c>
      <c r="I21" s="2">
        <v>0.44185099999999999</v>
      </c>
      <c r="J21" s="2">
        <v>115.176087</v>
      </c>
      <c r="K21" s="1">
        <v>2068</v>
      </c>
      <c r="L21" s="1">
        <v>685</v>
      </c>
      <c r="M21" s="2">
        <v>18194.411617999998</v>
      </c>
      <c r="N21" s="2">
        <v>10.829863</v>
      </c>
    </row>
    <row r="22" spans="1:14" x14ac:dyDescent="0.25">
      <c r="A22" s="1">
        <v>0</v>
      </c>
      <c r="B22" s="1">
        <v>14</v>
      </c>
      <c r="C22" s="2">
        <v>-0.47535300000000003</v>
      </c>
      <c r="D22" s="2">
        <v>3.4332000000000001E-2</v>
      </c>
      <c r="E22" s="2">
        <v>110.945139</v>
      </c>
      <c r="F22" s="2">
        <v>0.216696</v>
      </c>
      <c r="G22" s="2">
        <v>110.029055</v>
      </c>
      <c r="H22" s="2">
        <v>0.78920900000000005</v>
      </c>
      <c r="I22" s="2">
        <v>4.2055660000000001</v>
      </c>
      <c r="J22" s="2">
        <v>66.996268000000001</v>
      </c>
      <c r="K22" s="1">
        <v>1581</v>
      </c>
      <c r="L22" s="1">
        <v>747</v>
      </c>
      <c r="M22" s="2">
        <v>16719.025023999999</v>
      </c>
      <c r="N22" s="2">
        <v>7.3832829999999996</v>
      </c>
    </row>
    <row r="23" spans="1:14" x14ac:dyDescent="0.25">
      <c r="A23" s="1">
        <v>0</v>
      </c>
      <c r="B23" s="1">
        <v>15</v>
      </c>
      <c r="C23" s="2">
        <v>-0.46448099999999998</v>
      </c>
      <c r="D23" s="2">
        <v>0.48137200000000002</v>
      </c>
      <c r="E23" s="2">
        <v>178.531893</v>
      </c>
      <c r="F23" s="2">
        <v>1.1620969999999999</v>
      </c>
      <c r="G23" s="2">
        <v>167.557344</v>
      </c>
      <c r="H23" s="2">
        <v>5.0075120000000002</v>
      </c>
      <c r="I23" s="2">
        <v>53.669414000000003</v>
      </c>
      <c r="J23" s="2">
        <v>77.547448000000003</v>
      </c>
      <c r="K23" s="1">
        <v>1055</v>
      </c>
      <c r="L23" s="1">
        <v>476</v>
      </c>
      <c r="M23" s="2">
        <v>10545.999159999999</v>
      </c>
      <c r="N23" s="2">
        <v>3.1546439999999998</v>
      </c>
    </row>
    <row r="24" spans="1:14" x14ac:dyDescent="0.25">
      <c r="A24" s="1">
        <v>0</v>
      </c>
      <c r="B24" s="1">
        <v>15</v>
      </c>
      <c r="C24" s="2">
        <v>-0.49384899999999998</v>
      </c>
      <c r="D24" s="2">
        <v>8.8467000000000004E-2</v>
      </c>
      <c r="E24" s="2">
        <v>102.94216900000001</v>
      </c>
      <c r="F24" s="2">
        <v>0.56467100000000003</v>
      </c>
      <c r="G24" s="2">
        <v>101.466961</v>
      </c>
      <c r="H24" s="2">
        <v>2.2501799999999998</v>
      </c>
      <c r="I24" s="2">
        <v>9.1329989999999999</v>
      </c>
      <c r="J24" s="2">
        <v>53.669414000000003</v>
      </c>
      <c r="K24" s="1">
        <v>1466</v>
      </c>
      <c r="L24" s="1">
        <v>1055</v>
      </c>
      <c r="M24" s="2">
        <v>19013.67928</v>
      </c>
      <c r="N24" s="2">
        <v>6.9742110000000004</v>
      </c>
    </row>
    <row r="25" spans="1:14" x14ac:dyDescent="0.25">
      <c r="A25" s="1">
        <v>0</v>
      </c>
      <c r="B25" s="1">
        <v>15</v>
      </c>
      <c r="C25" s="2">
        <v>-0.37099199999999999</v>
      </c>
      <c r="D25" s="2">
        <v>6.2480000000000001E-2</v>
      </c>
      <c r="E25" s="2">
        <v>74.363919999999993</v>
      </c>
      <c r="F25" s="2">
        <v>0.48547299999999999</v>
      </c>
      <c r="G25" s="2">
        <v>73.458701000000005</v>
      </c>
      <c r="H25" s="2">
        <v>0.99845099999999998</v>
      </c>
      <c r="I25" s="2">
        <v>0.38968000000000003</v>
      </c>
      <c r="J25" s="2">
        <v>9.1329989999999999</v>
      </c>
      <c r="K25" s="1">
        <v>1799</v>
      </c>
      <c r="L25" s="1">
        <v>1466</v>
      </c>
      <c r="M25" s="2">
        <v>22906.995310999999</v>
      </c>
      <c r="N25" s="2">
        <v>11.712540000000001</v>
      </c>
    </row>
    <row r="26" spans="1:14" x14ac:dyDescent="0.25">
      <c r="A26" s="1">
        <v>0</v>
      </c>
      <c r="B26" s="1">
        <v>16</v>
      </c>
      <c r="C26" s="2">
        <v>-0.24456</v>
      </c>
      <c r="D26" s="2">
        <v>0.15523600000000001</v>
      </c>
      <c r="E26" s="2">
        <v>179.73496800000001</v>
      </c>
      <c r="F26" s="2">
        <v>0.98733099999999996</v>
      </c>
      <c r="G26" s="2">
        <v>168.456343</v>
      </c>
      <c r="H26" s="2">
        <v>3.973465</v>
      </c>
      <c r="I26" s="2">
        <v>16.273944</v>
      </c>
      <c r="J26" s="2">
        <v>60.065069000000001</v>
      </c>
      <c r="K26" s="1">
        <v>1447</v>
      </c>
      <c r="L26" s="1">
        <v>430</v>
      </c>
      <c r="M26" s="2">
        <v>14222.131601999999</v>
      </c>
      <c r="N26" s="2">
        <v>5.4581480000000004</v>
      </c>
    </row>
    <row r="27" spans="1:14" x14ac:dyDescent="0.25">
      <c r="A27" s="1">
        <v>0</v>
      </c>
      <c r="B27" s="1">
        <v>16</v>
      </c>
      <c r="C27" s="2">
        <v>-0.29419800000000002</v>
      </c>
      <c r="D27" s="2">
        <v>7.3439000000000004E-2</v>
      </c>
      <c r="E27" s="2">
        <v>113.466448</v>
      </c>
      <c r="F27" s="2">
        <v>0.59498799999999996</v>
      </c>
      <c r="G27" s="2">
        <v>108.543746</v>
      </c>
      <c r="H27" s="2">
        <v>2.007552</v>
      </c>
      <c r="I27" s="2">
        <v>1.041277</v>
      </c>
      <c r="J27" s="2">
        <v>16.273944</v>
      </c>
      <c r="K27" s="1">
        <v>2060</v>
      </c>
      <c r="L27" s="1">
        <v>1447</v>
      </c>
      <c r="M27" s="2">
        <v>20148.868143</v>
      </c>
      <c r="N27" s="2">
        <v>10.943675000000001</v>
      </c>
    </row>
    <row r="28" spans="1:14" x14ac:dyDescent="0.25">
      <c r="A28" s="1">
        <v>0</v>
      </c>
      <c r="B28" s="1">
        <v>17</v>
      </c>
      <c r="C28" s="2">
        <v>-2.1109680000000002</v>
      </c>
      <c r="D28" s="2">
        <v>0.44105699999999998</v>
      </c>
      <c r="E28" s="2">
        <v>187.10244299999999</v>
      </c>
      <c r="F28" s="2">
        <v>1.7286710000000001</v>
      </c>
      <c r="G28" s="2">
        <v>188.94818100000001</v>
      </c>
      <c r="H28" s="2">
        <v>8.0341799999999992</v>
      </c>
      <c r="I28" s="2">
        <v>10.759861000000001</v>
      </c>
      <c r="J28" s="2">
        <v>16.188768</v>
      </c>
      <c r="K28" s="1">
        <v>968</v>
      </c>
      <c r="L28" s="1">
        <v>458</v>
      </c>
      <c r="M28" s="2">
        <v>4446.9775609999997</v>
      </c>
      <c r="N28" s="2">
        <v>2.711325</v>
      </c>
    </row>
    <row r="29" spans="1:14" x14ac:dyDescent="0.25">
      <c r="A29" s="1">
        <v>0</v>
      </c>
      <c r="B29" s="1">
        <v>17</v>
      </c>
      <c r="C29" s="2">
        <v>-0.59193399999999996</v>
      </c>
      <c r="D29" s="2">
        <v>0.34674899999999997</v>
      </c>
      <c r="E29" s="2">
        <v>127.062116</v>
      </c>
      <c r="F29" s="2">
        <v>1.6199030000000001</v>
      </c>
      <c r="G29" s="2">
        <v>127.053225</v>
      </c>
      <c r="H29" s="2">
        <v>2.8647420000000001</v>
      </c>
      <c r="I29" s="2">
        <v>3.5954929999999998</v>
      </c>
      <c r="J29" s="2">
        <v>10.759861000000001</v>
      </c>
      <c r="K29" s="1">
        <v>1396</v>
      </c>
      <c r="L29" s="1">
        <v>968</v>
      </c>
      <c r="M29" s="2">
        <v>8594.6750909999992</v>
      </c>
      <c r="N29" s="2">
        <v>6.1522829999999997</v>
      </c>
    </row>
    <row r="30" spans="1:14" x14ac:dyDescent="0.25">
      <c r="A30" s="1">
        <v>0</v>
      </c>
      <c r="B30" s="1">
        <v>18</v>
      </c>
      <c r="C30" s="2">
        <v>-0.36080600000000002</v>
      </c>
      <c r="D30" s="2">
        <v>0.111497</v>
      </c>
      <c r="E30" s="2">
        <v>144.86041800000001</v>
      </c>
      <c r="F30" s="2">
        <v>0.85933899999999996</v>
      </c>
      <c r="G30" s="2">
        <v>134.21164099999999</v>
      </c>
      <c r="H30" s="2">
        <v>4.2317</v>
      </c>
      <c r="I30" s="2">
        <v>1.5512680000000001</v>
      </c>
      <c r="J30" s="2">
        <v>9.7313609999999997</v>
      </c>
      <c r="K30" s="1">
        <v>1434</v>
      </c>
      <c r="L30" s="1">
        <v>439</v>
      </c>
      <c r="M30" s="2">
        <v>7829.4422880000002</v>
      </c>
      <c r="N30" s="2">
        <v>7.0277859999999999</v>
      </c>
    </row>
    <row r="31" spans="1:14" x14ac:dyDescent="0.25">
      <c r="A31" s="1">
        <v>0</v>
      </c>
      <c r="B31" s="1">
        <v>19</v>
      </c>
      <c r="C31" s="2">
        <v>-36</v>
      </c>
      <c r="D31" s="2">
        <v>6.2662979999999999</v>
      </c>
      <c r="E31" s="2">
        <v>311.191959</v>
      </c>
      <c r="F31" s="2">
        <v>10.889486</v>
      </c>
      <c r="G31" s="2">
        <v>89.632068000000004</v>
      </c>
      <c r="H31" s="2">
        <v>47.460194999999999</v>
      </c>
      <c r="I31" s="2">
        <v>117.228829</v>
      </c>
      <c r="J31" s="2">
        <v>122.81957</v>
      </c>
      <c r="K31" s="1">
        <v>746</v>
      </c>
      <c r="L31" s="1">
        <v>376</v>
      </c>
      <c r="M31" s="2">
        <v>4805.9047659999997</v>
      </c>
      <c r="N31" s="2">
        <v>1.110873</v>
      </c>
    </row>
    <row r="32" spans="1:14" x14ac:dyDescent="0.25">
      <c r="A32" s="1">
        <v>0</v>
      </c>
      <c r="B32" s="1">
        <v>19</v>
      </c>
      <c r="C32" s="2">
        <v>2.7264059999999999</v>
      </c>
      <c r="D32" s="2">
        <v>1.931154</v>
      </c>
      <c r="E32" s="2">
        <v>248.431026</v>
      </c>
      <c r="F32" s="2">
        <v>3.519914</v>
      </c>
      <c r="G32" s="2">
        <v>225.931983</v>
      </c>
      <c r="H32" s="2">
        <v>9.1834699999999998</v>
      </c>
      <c r="I32" s="2">
        <v>93.935315000000003</v>
      </c>
      <c r="J32" s="2">
        <v>117.228829</v>
      </c>
      <c r="K32" s="1">
        <v>1236</v>
      </c>
      <c r="L32" s="1">
        <v>746</v>
      </c>
      <c r="M32" s="2">
        <v>13080.938866</v>
      </c>
      <c r="N32" s="2">
        <v>3.1459820000000001</v>
      </c>
    </row>
    <row r="33" spans="1:14" x14ac:dyDescent="0.25">
      <c r="A33" s="1">
        <v>0</v>
      </c>
      <c r="B33" s="1">
        <v>19</v>
      </c>
      <c r="C33" s="2">
        <v>-0.39589400000000002</v>
      </c>
      <c r="D33" s="2">
        <v>1.4305999999999999E-2</v>
      </c>
      <c r="E33" s="2">
        <v>62.297457999999999</v>
      </c>
      <c r="F33" s="2">
        <v>0.165548</v>
      </c>
      <c r="G33" s="2">
        <v>59.777073000000001</v>
      </c>
      <c r="H33" s="2">
        <v>0.75258000000000003</v>
      </c>
      <c r="I33" s="2">
        <v>0.25765700000000002</v>
      </c>
      <c r="J33" s="2">
        <v>93.935315000000003</v>
      </c>
      <c r="K33" s="1">
        <v>1951</v>
      </c>
      <c r="L33" s="1">
        <v>1236</v>
      </c>
      <c r="M33" s="2">
        <v>28140.415009</v>
      </c>
      <c r="N33" s="2">
        <v>14.869865000000001</v>
      </c>
    </row>
    <row r="34" spans="1:14" x14ac:dyDescent="0.25">
      <c r="A34" s="1">
        <v>0</v>
      </c>
      <c r="B34" s="1">
        <v>20</v>
      </c>
      <c r="C34" s="2">
        <v>-0.47831800000000002</v>
      </c>
      <c r="D34" s="2">
        <v>0.12800400000000001</v>
      </c>
      <c r="E34" s="2">
        <v>148.71703199999999</v>
      </c>
      <c r="F34" s="2">
        <v>1.186763</v>
      </c>
      <c r="G34" s="2">
        <v>142.95269099999999</v>
      </c>
      <c r="H34" s="2">
        <v>5.0730420000000001</v>
      </c>
      <c r="I34" s="2">
        <v>3.160031</v>
      </c>
      <c r="J34" s="2">
        <v>29.975573000000001</v>
      </c>
      <c r="K34" s="1">
        <v>1367</v>
      </c>
      <c r="L34" s="1">
        <v>426</v>
      </c>
      <c r="M34" s="2">
        <v>10817.02183</v>
      </c>
      <c r="N34" s="2">
        <v>5.9526529999999998</v>
      </c>
    </row>
    <row r="35" spans="1:14" x14ac:dyDescent="0.25">
      <c r="A35" s="1">
        <v>0</v>
      </c>
      <c r="B35" s="1">
        <v>20</v>
      </c>
      <c r="C35" s="2">
        <v>-1.093675</v>
      </c>
      <c r="D35" s="2">
        <v>0.32153700000000002</v>
      </c>
      <c r="E35" s="2">
        <v>117.090322</v>
      </c>
      <c r="F35" s="2">
        <v>2.5363950000000002</v>
      </c>
      <c r="G35" s="2">
        <v>120.605715</v>
      </c>
      <c r="H35" s="2">
        <v>5.6725649999999996</v>
      </c>
      <c r="I35" s="2">
        <v>1.0199830000000001</v>
      </c>
      <c r="J35" s="2">
        <v>3.160031</v>
      </c>
      <c r="K35" s="1">
        <v>1708</v>
      </c>
      <c r="L35" s="1">
        <v>1367</v>
      </c>
      <c r="M35" s="2">
        <v>13149.722371</v>
      </c>
      <c r="N35" s="2">
        <v>9.2360880000000005</v>
      </c>
    </row>
    <row r="36" spans="1:14" x14ac:dyDescent="0.25">
      <c r="A36" s="1">
        <v>0</v>
      </c>
      <c r="B36" s="1">
        <v>21</v>
      </c>
      <c r="C36" s="2">
        <v>3.2299159999999998</v>
      </c>
      <c r="D36" s="2">
        <v>1.867928</v>
      </c>
      <c r="E36" s="2">
        <v>393.13236599999999</v>
      </c>
      <c r="F36" s="2">
        <v>4.6964649999999999</v>
      </c>
      <c r="G36" s="2">
        <v>335.18426699999998</v>
      </c>
      <c r="H36" s="2">
        <v>18.778893</v>
      </c>
      <c r="I36" s="2">
        <v>33.153703</v>
      </c>
      <c r="J36" s="2">
        <v>38.873272999999998</v>
      </c>
      <c r="K36" s="1">
        <v>1082</v>
      </c>
      <c r="L36" s="1">
        <v>420</v>
      </c>
      <c r="M36" s="2">
        <v>4631.5314040000003</v>
      </c>
      <c r="N36" s="2">
        <v>1.8301559999999999</v>
      </c>
    </row>
    <row r="37" spans="1:14" x14ac:dyDescent="0.25">
      <c r="A37" s="1">
        <v>0</v>
      </c>
      <c r="B37" s="1">
        <v>21</v>
      </c>
      <c r="C37" s="2">
        <v>-1.5131680000000001</v>
      </c>
      <c r="D37" s="2">
        <v>0.14490800000000001</v>
      </c>
      <c r="E37" s="2">
        <v>78.848259999999996</v>
      </c>
      <c r="F37" s="2">
        <v>3.364522</v>
      </c>
      <c r="G37" s="2">
        <v>20.498360000000002</v>
      </c>
      <c r="H37" s="2">
        <v>8.1890470000000004</v>
      </c>
      <c r="I37" s="2">
        <v>3.937262</v>
      </c>
      <c r="J37" s="2">
        <v>33.153703</v>
      </c>
      <c r="K37" s="1">
        <v>1400</v>
      </c>
      <c r="L37" s="1">
        <v>1082</v>
      </c>
      <c r="M37" s="2">
        <v>12089.581924</v>
      </c>
      <c r="N37" s="2">
        <v>5.8073389999999998</v>
      </c>
    </row>
    <row r="38" spans="1:14" x14ac:dyDescent="0.25">
      <c r="A38" s="1">
        <v>0</v>
      </c>
      <c r="B38" s="1">
        <v>21</v>
      </c>
      <c r="C38" s="2">
        <v>-0.35049599999999997</v>
      </c>
      <c r="D38" s="2">
        <v>5.858E-2</v>
      </c>
      <c r="E38" s="2">
        <v>91.651951999999994</v>
      </c>
      <c r="F38" s="2">
        <v>0.73099499999999995</v>
      </c>
      <c r="G38" s="2">
        <v>87.566659000000001</v>
      </c>
      <c r="H38" s="2">
        <v>2.165124</v>
      </c>
      <c r="I38" s="2">
        <v>0.13415199999999999</v>
      </c>
      <c r="J38" s="2">
        <v>3.937262</v>
      </c>
      <c r="K38" s="1">
        <v>1891</v>
      </c>
      <c r="L38" s="1">
        <v>1400</v>
      </c>
      <c r="M38" s="2">
        <v>15151.361508</v>
      </c>
      <c r="N38" s="2">
        <v>11.253446</v>
      </c>
    </row>
    <row r="39" spans="1:14" x14ac:dyDescent="0.25">
      <c r="A39" s="1">
        <v>0</v>
      </c>
      <c r="B39" s="1">
        <v>22</v>
      </c>
      <c r="C39" s="2">
        <v>2.7966489999999999</v>
      </c>
      <c r="D39" s="2">
        <v>1.8870960000000001</v>
      </c>
      <c r="E39" s="2">
        <v>314.63161200000002</v>
      </c>
      <c r="F39" s="2">
        <v>6.0453929999999998</v>
      </c>
      <c r="G39" s="2">
        <v>273.79521999999997</v>
      </c>
      <c r="H39" s="2">
        <v>16.158100999999998</v>
      </c>
      <c r="I39" s="2">
        <v>28.845925999999999</v>
      </c>
      <c r="J39" s="2">
        <v>37.528556999999999</v>
      </c>
      <c r="K39" s="1">
        <v>1030</v>
      </c>
      <c r="L39" s="1">
        <v>432</v>
      </c>
      <c r="M39" s="2">
        <v>4643.8001880000002</v>
      </c>
      <c r="N39" s="2">
        <v>1.906304</v>
      </c>
    </row>
    <row r="40" spans="1:14" x14ac:dyDescent="0.25">
      <c r="A40" s="1">
        <v>0</v>
      </c>
      <c r="B40" s="1">
        <v>22</v>
      </c>
      <c r="C40" s="2">
        <v>-0.27670400000000001</v>
      </c>
      <c r="D40" s="2">
        <v>0.147033</v>
      </c>
      <c r="E40" s="2">
        <v>126.44382400000001</v>
      </c>
      <c r="F40" s="2">
        <v>1.655864</v>
      </c>
      <c r="G40" s="2">
        <v>115.47184300000001</v>
      </c>
      <c r="H40" s="2">
        <v>4.8862569999999996</v>
      </c>
      <c r="I40" s="2">
        <v>1.980343</v>
      </c>
      <c r="J40" s="2">
        <v>28.845925999999999</v>
      </c>
      <c r="K40" s="1">
        <v>1792</v>
      </c>
      <c r="L40" s="1">
        <v>1030</v>
      </c>
      <c r="M40" s="2">
        <v>13871.949167999999</v>
      </c>
      <c r="N40" s="2">
        <v>8.5553019999999993</v>
      </c>
    </row>
    <row r="41" spans="1:14" x14ac:dyDescent="0.25">
      <c r="A41" s="1">
        <v>0</v>
      </c>
      <c r="B41" s="1">
        <v>23</v>
      </c>
      <c r="C41" s="2">
        <v>-0.14773</v>
      </c>
      <c r="D41" s="2">
        <v>0.28140900000000002</v>
      </c>
      <c r="E41" s="2">
        <v>144.52812900000001</v>
      </c>
      <c r="F41" s="2">
        <v>1.0588649999999999</v>
      </c>
      <c r="G41" s="2">
        <v>141.70385899999999</v>
      </c>
      <c r="H41" s="2">
        <v>2.6243590000000001</v>
      </c>
      <c r="I41" s="2">
        <v>5.3565069999999997</v>
      </c>
      <c r="J41" s="2">
        <v>15.717105999999999</v>
      </c>
      <c r="K41" s="1">
        <v>1056</v>
      </c>
      <c r="L41" s="1">
        <v>480</v>
      </c>
      <c r="M41" s="2">
        <v>5890.7785610000001</v>
      </c>
      <c r="N41" s="2">
        <v>3.9051490000000002</v>
      </c>
    </row>
    <row r="42" spans="1:14" x14ac:dyDescent="0.25">
      <c r="A42" s="1">
        <v>0</v>
      </c>
      <c r="B42" s="1">
        <v>23</v>
      </c>
      <c r="C42" s="2">
        <v>-0.47297299999999998</v>
      </c>
      <c r="D42" s="2">
        <v>0.15414900000000001</v>
      </c>
      <c r="E42" s="2">
        <v>96.578396999999995</v>
      </c>
      <c r="F42" s="2">
        <v>0.59396899999999997</v>
      </c>
      <c r="G42" s="2">
        <v>96.638953999999998</v>
      </c>
      <c r="H42" s="2">
        <v>1.5087740000000001</v>
      </c>
      <c r="I42" s="2">
        <v>1.5895980000000001</v>
      </c>
      <c r="J42" s="2">
        <v>5.3565069999999997</v>
      </c>
      <c r="K42" s="1">
        <v>1481</v>
      </c>
      <c r="L42" s="1">
        <v>1056</v>
      </c>
      <c r="M42" s="2">
        <v>9425.1673859999992</v>
      </c>
      <c r="N42" s="2">
        <v>8.2590269999999997</v>
      </c>
    </row>
    <row r="43" spans="1:14" x14ac:dyDescent="0.25">
      <c r="A43" s="1">
        <v>0</v>
      </c>
      <c r="B43" s="1">
        <v>24</v>
      </c>
      <c r="C43" s="2">
        <v>-0.83138000000000001</v>
      </c>
      <c r="D43" s="2">
        <v>0.48441200000000001</v>
      </c>
      <c r="E43" s="2">
        <v>133.25202999999999</v>
      </c>
      <c r="F43" s="2">
        <v>0.54086100000000004</v>
      </c>
      <c r="G43" s="2">
        <v>133.23137500000001</v>
      </c>
      <c r="H43" s="2">
        <v>1.1235809999999999</v>
      </c>
      <c r="I43" s="2">
        <v>20.193106</v>
      </c>
      <c r="J43" s="2">
        <v>28.26247</v>
      </c>
      <c r="K43" s="1">
        <v>1077</v>
      </c>
      <c r="L43" s="1">
        <v>753</v>
      </c>
      <c r="M43" s="2">
        <v>5099.5724799999998</v>
      </c>
      <c r="N43" s="2">
        <v>2.374952</v>
      </c>
    </row>
    <row r="44" spans="1:14" x14ac:dyDescent="0.25">
      <c r="A44" s="1">
        <v>0</v>
      </c>
      <c r="B44" s="1">
        <v>24</v>
      </c>
      <c r="C44" s="2">
        <v>-0.338198</v>
      </c>
      <c r="D44" s="2">
        <v>3.4556999999999997E-2</v>
      </c>
      <c r="E44" s="2">
        <v>107.03658799999999</v>
      </c>
      <c r="F44" s="2">
        <v>0.67281500000000005</v>
      </c>
      <c r="G44" s="2">
        <v>89.230502999999999</v>
      </c>
      <c r="H44" s="2">
        <v>3.324646</v>
      </c>
      <c r="I44" s="2">
        <v>0.23849300000000001</v>
      </c>
      <c r="J44" s="2">
        <v>20.193106</v>
      </c>
      <c r="K44" s="1">
        <v>1848</v>
      </c>
      <c r="L44" s="1">
        <v>1077</v>
      </c>
      <c r="M44" s="2">
        <v>12239.221938999999</v>
      </c>
      <c r="N44" s="2">
        <v>10.067788999999999</v>
      </c>
    </row>
    <row r="45" spans="1:14" x14ac:dyDescent="0.25">
      <c r="A45" s="1">
        <v>0</v>
      </c>
      <c r="B45" s="1">
        <v>25</v>
      </c>
      <c r="C45" s="2">
        <v>-0.47981400000000002</v>
      </c>
      <c r="D45" s="2">
        <v>6.8836999999999995E-2</v>
      </c>
      <c r="E45" s="2">
        <v>95.996948000000003</v>
      </c>
      <c r="F45" s="2">
        <v>0.284524</v>
      </c>
      <c r="G45" s="2">
        <v>95.977894000000006</v>
      </c>
      <c r="H45" s="2">
        <v>1.030089</v>
      </c>
      <c r="I45" s="2">
        <v>4.4972940000000001</v>
      </c>
      <c r="J45" s="2">
        <v>21.433482000000001</v>
      </c>
      <c r="K45" s="1">
        <v>1300</v>
      </c>
      <c r="L45" s="1">
        <v>784</v>
      </c>
      <c r="M45" s="2">
        <v>7916.1068939999996</v>
      </c>
      <c r="N45" s="2">
        <v>5.0563599999999997</v>
      </c>
    </row>
    <row r="46" spans="1:14" x14ac:dyDescent="0.25">
      <c r="A46" s="1">
        <v>0</v>
      </c>
      <c r="B46" s="1">
        <v>26</v>
      </c>
      <c r="C46" s="2">
        <v>-0.40060099999999998</v>
      </c>
      <c r="D46" s="2">
        <v>3.7227999999999997E-2</v>
      </c>
      <c r="E46" s="2">
        <v>80.220890999999995</v>
      </c>
      <c r="F46" s="2">
        <v>0.157585</v>
      </c>
      <c r="G46" s="2">
        <v>80.126851000000002</v>
      </c>
      <c r="H46" s="2">
        <v>0.30605199999999999</v>
      </c>
      <c r="I46" s="2">
        <v>0.791072</v>
      </c>
      <c r="J46" s="2">
        <v>25.923323</v>
      </c>
      <c r="K46" s="1">
        <v>1382</v>
      </c>
      <c r="L46" s="1">
        <v>783</v>
      </c>
      <c r="M46" s="2">
        <v>9023.4299530000008</v>
      </c>
      <c r="N46" s="2">
        <v>7.3120529999999997</v>
      </c>
    </row>
    <row r="47" spans="1:14" x14ac:dyDescent="0.25">
      <c r="A47" s="1">
        <v>0</v>
      </c>
      <c r="B47" s="1">
        <v>27</v>
      </c>
      <c r="C47" s="2">
        <v>-0.34567599999999998</v>
      </c>
      <c r="D47" s="2">
        <v>6.3117999999999994E-2</v>
      </c>
      <c r="E47" s="2">
        <v>75.969001000000006</v>
      </c>
      <c r="F47" s="2">
        <v>0.485508</v>
      </c>
      <c r="G47" s="2">
        <v>65.578872000000004</v>
      </c>
      <c r="H47" s="2">
        <v>2.8223639999999999</v>
      </c>
      <c r="I47" s="2">
        <v>2.072972</v>
      </c>
      <c r="J47" s="2">
        <v>12.725298</v>
      </c>
      <c r="K47" s="1">
        <v>1293</v>
      </c>
      <c r="L47" s="1">
        <v>781</v>
      </c>
      <c r="M47" s="2">
        <v>7477.1715510000004</v>
      </c>
      <c r="N47" s="2">
        <v>6.6600089999999996</v>
      </c>
    </row>
    <row r="48" spans="1:14" x14ac:dyDescent="0.25">
      <c r="A48" s="1">
        <v>0</v>
      </c>
      <c r="B48" s="1">
        <v>28</v>
      </c>
      <c r="C48" s="2">
        <v>-0.37987399999999999</v>
      </c>
      <c r="D48" s="2">
        <v>4.6155000000000002E-2</v>
      </c>
      <c r="E48" s="2">
        <v>94.143114999999995</v>
      </c>
      <c r="F48" s="2">
        <v>0.23497599999999999</v>
      </c>
      <c r="G48" s="2">
        <v>93.412373000000002</v>
      </c>
      <c r="H48" s="2">
        <v>0.69588099999999997</v>
      </c>
      <c r="I48" s="2">
        <v>1.724815</v>
      </c>
      <c r="J48" s="2">
        <v>26.402439000000001</v>
      </c>
      <c r="K48" s="1">
        <v>1166</v>
      </c>
      <c r="L48" s="1">
        <v>673</v>
      </c>
      <c r="M48" s="2">
        <v>8675.5316019999991</v>
      </c>
      <c r="N48" s="2">
        <v>5.3378899999999998</v>
      </c>
    </row>
    <row r="49" spans="1:14" x14ac:dyDescent="0.25">
      <c r="A49" s="1">
        <v>0</v>
      </c>
      <c r="B49" s="1">
        <v>29</v>
      </c>
      <c r="C49" s="2">
        <v>-0.37124400000000002</v>
      </c>
      <c r="D49" s="2">
        <v>2.9411E-2</v>
      </c>
      <c r="E49" s="2">
        <v>124.306485</v>
      </c>
      <c r="F49" s="2">
        <v>0.22572600000000001</v>
      </c>
      <c r="G49" s="2">
        <v>122.923125</v>
      </c>
      <c r="H49" s="2">
        <v>0.78419799999999995</v>
      </c>
      <c r="I49" s="2">
        <v>0.71441399999999999</v>
      </c>
      <c r="J49" s="2">
        <v>33.286791000000001</v>
      </c>
      <c r="K49" s="1">
        <v>1600</v>
      </c>
      <c r="L49" s="1">
        <v>642</v>
      </c>
      <c r="M49" s="2">
        <v>10776.495686</v>
      </c>
      <c r="N49" s="2">
        <v>7.9550989999999997</v>
      </c>
    </row>
    <row r="50" spans="1:14" x14ac:dyDescent="0.25">
      <c r="A50" s="1">
        <v>0</v>
      </c>
      <c r="B50" s="1">
        <v>30</v>
      </c>
      <c r="C50" s="2">
        <v>-0.53583000000000003</v>
      </c>
      <c r="D50" s="2">
        <v>5.3371000000000002E-2</v>
      </c>
      <c r="E50" s="2">
        <v>127.81872199999999</v>
      </c>
      <c r="F50" s="2">
        <v>0.35231800000000002</v>
      </c>
      <c r="G50" s="2">
        <v>128.522884</v>
      </c>
      <c r="H50" s="2">
        <v>1.757118</v>
      </c>
      <c r="I50" s="2">
        <v>2.1251419999999999</v>
      </c>
      <c r="J50" s="2">
        <v>16.582708</v>
      </c>
      <c r="K50" s="1">
        <v>1502</v>
      </c>
      <c r="L50" s="1">
        <v>614</v>
      </c>
      <c r="M50" s="2">
        <v>9068.3284839999997</v>
      </c>
      <c r="N50" s="2">
        <v>6.9757540000000002</v>
      </c>
    </row>
    <row r="51" spans="1:14" x14ac:dyDescent="0.25">
      <c r="A51" s="1">
        <v>0</v>
      </c>
      <c r="B51" s="1">
        <v>31</v>
      </c>
      <c r="C51" s="2">
        <v>-0.48483900000000002</v>
      </c>
      <c r="D51" s="2">
        <v>4.2820999999999998E-2</v>
      </c>
      <c r="E51" s="2">
        <v>135.11800199999999</v>
      </c>
      <c r="F51" s="2">
        <v>0.49230400000000002</v>
      </c>
      <c r="G51" s="2">
        <v>126.12253</v>
      </c>
      <c r="H51" s="2">
        <v>3.8655659999999998</v>
      </c>
      <c r="I51" s="2">
        <v>2.2571650000000001</v>
      </c>
      <c r="J51" s="2">
        <v>23.471319000000001</v>
      </c>
      <c r="K51" s="1">
        <v>1529</v>
      </c>
      <c r="L51" s="1">
        <v>554</v>
      </c>
      <c r="M51" s="2">
        <v>11284.018754999999</v>
      </c>
      <c r="N51" s="2">
        <v>7.484216</v>
      </c>
    </row>
    <row r="52" spans="1:14" x14ac:dyDescent="0.25">
      <c r="A52" s="1">
        <v>0</v>
      </c>
      <c r="B52" s="1">
        <v>32</v>
      </c>
      <c r="C52" s="2">
        <v>-0.36702400000000002</v>
      </c>
      <c r="D52" s="2">
        <v>7.4226E-2</v>
      </c>
      <c r="E52" s="2">
        <v>159.02468099999999</v>
      </c>
      <c r="F52" s="2">
        <v>0.62988200000000005</v>
      </c>
      <c r="G52" s="2">
        <v>153.51331200000001</v>
      </c>
      <c r="H52" s="2">
        <v>2.4823750000000002</v>
      </c>
      <c r="I52" s="2">
        <v>2.2241590000000002</v>
      </c>
      <c r="J52" s="2">
        <v>40.495877</v>
      </c>
      <c r="K52" s="1">
        <v>1605</v>
      </c>
      <c r="L52" s="1">
        <v>522</v>
      </c>
      <c r="M52" s="2">
        <v>12539.741899000001</v>
      </c>
      <c r="N52" s="2">
        <v>6.7095140000000004</v>
      </c>
    </row>
    <row r="53" spans="1:14" x14ac:dyDescent="0.25">
      <c r="A53" s="1">
        <v>0</v>
      </c>
      <c r="B53" s="1">
        <v>34</v>
      </c>
      <c r="C53" s="2">
        <v>-1.378063</v>
      </c>
      <c r="D53" s="2">
        <v>0.38027300000000003</v>
      </c>
      <c r="E53" s="2">
        <v>98.868915000000001</v>
      </c>
      <c r="F53" s="2">
        <v>0.60364899999999999</v>
      </c>
      <c r="G53" s="2">
        <v>98.848294999999993</v>
      </c>
      <c r="H53" s="2">
        <v>1.530403</v>
      </c>
      <c r="I53" s="2">
        <v>10.039059</v>
      </c>
      <c r="J53" s="2">
        <v>16.411290999999999</v>
      </c>
      <c r="K53" s="1">
        <v>869</v>
      </c>
      <c r="L53" s="1">
        <v>539</v>
      </c>
      <c r="M53" s="2">
        <v>5368.5068469999997</v>
      </c>
      <c r="N53" s="2">
        <v>3.341456</v>
      </c>
    </row>
    <row r="54" spans="1:14" x14ac:dyDescent="0.25">
      <c r="A54" s="1">
        <v>0</v>
      </c>
      <c r="B54" s="1">
        <v>34</v>
      </c>
      <c r="C54" s="2">
        <v>-0.58131200000000005</v>
      </c>
      <c r="D54" s="2">
        <v>0.19650799999999999</v>
      </c>
      <c r="E54" s="2">
        <v>203.48901599999999</v>
      </c>
      <c r="F54" s="2">
        <v>2.7318039999999999</v>
      </c>
      <c r="G54" s="2">
        <v>197.102091</v>
      </c>
      <c r="H54" s="2">
        <v>8.1301319999999997</v>
      </c>
      <c r="I54" s="2">
        <v>1.7077789999999999</v>
      </c>
      <c r="J54" s="2">
        <v>10.039059</v>
      </c>
      <c r="K54" s="1">
        <v>1617</v>
      </c>
      <c r="L54" s="1">
        <v>869</v>
      </c>
      <c r="M54" s="2">
        <v>9722.1633340000008</v>
      </c>
      <c r="N54" s="2">
        <v>7.3134730000000001</v>
      </c>
    </row>
    <row r="55" spans="1:14" x14ac:dyDescent="0.25">
      <c r="A55" s="1">
        <v>0</v>
      </c>
      <c r="B55" s="1">
        <v>35</v>
      </c>
      <c r="C55" s="2">
        <v>-0.424099</v>
      </c>
      <c r="D55" s="2">
        <v>3.6623999999999997E-2</v>
      </c>
      <c r="E55" s="2">
        <v>155.776723</v>
      </c>
      <c r="F55" s="2">
        <v>0.31148900000000002</v>
      </c>
      <c r="G55" s="2">
        <v>154.15983700000001</v>
      </c>
      <c r="H55" s="2">
        <v>1.5934600000000001</v>
      </c>
      <c r="I55" s="2">
        <v>1.7578199999999999</v>
      </c>
      <c r="J55" s="2">
        <v>52.118144999999998</v>
      </c>
      <c r="K55" s="1">
        <v>1700</v>
      </c>
      <c r="L55" s="1">
        <v>581</v>
      </c>
      <c r="M55" s="2">
        <v>15115.403528000001</v>
      </c>
      <c r="N55" s="2">
        <v>7.3522800000000004</v>
      </c>
    </row>
    <row r="56" spans="1:14" x14ac:dyDescent="0.25">
      <c r="A56" s="1">
        <v>0</v>
      </c>
      <c r="B56" s="1">
        <v>36</v>
      </c>
      <c r="C56" s="2">
        <v>-0.47952299999999998</v>
      </c>
      <c r="D56" s="2">
        <v>4.3874999999999997E-2</v>
      </c>
      <c r="E56" s="2">
        <v>132.24211199999999</v>
      </c>
      <c r="F56" s="2">
        <v>0.32832699999999998</v>
      </c>
      <c r="G56" s="2">
        <v>131.804168</v>
      </c>
      <c r="H56" s="2">
        <v>1.801131</v>
      </c>
      <c r="I56" s="2">
        <v>2.392382</v>
      </c>
      <c r="J56" s="2">
        <v>32.449936000000001</v>
      </c>
      <c r="K56" s="1">
        <v>1488</v>
      </c>
      <c r="L56" s="1">
        <v>634</v>
      </c>
      <c r="M56" s="2">
        <v>10347.740824</v>
      </c>
      <c r="N56" s="2">
        <v>6.5180369999999996</v>
      </c>
    </row>
    <row r="57" spans="1:14" x14ac:dyDescent="0.25">
      <c r="A57" s="1">
        <v>0</v>
      </c>
      <c r="B57" s="1">
        <v>37</v>
      </c>
      <c r="C57" s="2">
        <v>-0.60964700000000005</v>
      </c>
      <c r="D57" s="2">
        <v>4.9860000000000002E-2</v>
      </c>
      <c r="E57" s="2">
        <v>110.430926</v>
      </c>
      <c r="F57" s="2">
        <v>0.53110999999999997</v>
      </c>
      <c r="G57" s="2">
        <v>110.554883</v>
      </c>
      <c r="H57" s="2">
        <v>2.7935300000000001</v>
      </c>
      <c r="I57" s="2">
        <v>1.335134</v>
      </c>
      <c r="J57" s="2">
        <v>16.116368999999999</v>
      </c>
      <c r="K57" s="1">
        <v>1454</v>
      </c>
      <c r="L57" s="1">
        <v>628</v>
      </c>
      <c r="M57" s="2">
        <v>8729.5664610000003</v>
      </c>
      <c r="N57" s="2">
        <v>7.3190590000000002</v>
      </c>
    </row>
    <row r="58" spans="1:14" x14ac:dyDescent="0.25">
      <c r="A58" s="1">
        <v>0</v>
      </c>
      <c r="B58" s="1">
        <v>38</v>
      </c>
      <c r="C58" s="2">
        <v>-0.54444499999999996</v>
      </c>
      <c r="D58" s="2">
        <v>3.9257E-2</v>
      </c>
      <c r="E58" s="2">
        <v>107.79831799999999</v>
      </c>
      <c r="F58" s="2">
        <v>0.47957699999999998</v>
      </c>
      <c r="G58" s="2">
        <v>110.792491</v>
      </c>
      <c r="H58" s="2">
        <v>2.448699</v>
      </c>
      <c r="I58" s="2">
        <v>0.51957399999999998</v>
      </c>
      <c r="J58" s="2">
        <v>11.009001</v>
      </c>
      <c r="K58" s="1">
        <v>1494</v>
      </c>
      <c r="L58" s="1">
        <v>624</v>
      </c>
      <c r="M58" s="2">
        <v>7496.292582</v>
      </c>
      <c r="N58" s="2">
        <v>7.773034</v>
      </c>
    </row>
    <row r="59" spans="1:14" x14ac:dyDescent="0.25">
      <c r="A59" s="1">
        <v>0</v>
      </c>
      <c r="B59" s="1">
        <v>39</v>
      </c>
      <c r="C59" s="2">
        <v>-0.65423299999999995</v>
      </c>
      <c r="D59" s="2">
        <v>6.8011000000000002E-2</v>
      </c>
      <c r="E59" s="2">
        <v>99.724541000000002</v>
      </c>
      <c r="F59" s="2">
        <v>0.65017599999999998</v>
      </c>
      <c r="G59" s="2">
        <v>102.614485</v>
      </c>
      <c r="H59" s="2">
        <v>3.5347189999999999</v>
      </c>
      <c r="I59" s="2">
        <v>1.214823</v>
      </c>
      <c r="J59" s="2">
        <v>7.5604370000000003</v>
      </c>
      <c r="K59" s="1">
        <v>1175</v>
      </c>
      <c r="L59" s="1">
        <v>624</v>
      </c>
      <c r="M59" s="2">
        <v>5336.9212530000004</v>
      </c>
      <c r="N59" s="2">
        <v>5.3801410000000001</v>
      </c>
    </row>
    <row r="60" spans="1:14" x14ac:dyDescent="0.25">
      <c r="A60" s="1">
        <v>0</v>
      </c>
      <c r="B60" s="1">
        <v>40</v>
      </c>
      <c r="C60" s="2">
        <v>-0.53137999999999996</v>
      </c>
      <c r="D60" s="2">
        <v>5.0859000000000001E-2</v>
      </c>
      <c r="E60" s="2">
        <v>93.801001999999997</v>
      </c>
      <c r="F60" s="2">
        <v>0.37385499999999999</v>
      </c>
      <c r="G60" s="2">
        <v>94.813283999999996</v>
      </c>
      <c r="H60" s="2">
        <v>1.254292</v>
      </c>
      <c r="I60" s="2">
        <v>0.12244099999999999</v>
      </c>
      <c r="J60" s="2">
        <v>3.7637160000000001</v>
      </c>
      <c r="K60" s="1">
        <v>1462</v>
      </c>
      <c r="L60" s="1">
        <v>610</v>
      </c>
      <c r="M60" s="2">
        <v>5436.0504209999999</v>
      </c>
      <c r="N60" s="2">
        <v>9.1189090000000004</v>
      </c>
    </row>
    <row r="61" spans="1:14" x14ac:dyDescent="0.25">
      <c r="A61" s="1">
        <v>0</v>
      </c>
      <c r="B61" s="1">
        <v>41</v>
      </c>
      <c r="C61" s="2">
        <v>-0.49676799999999999</v>
      </c>
      <c r="D61" s="2">
        <v>6.5852999999999995E-2</v>
      </c>
      <c r="E61" s="2">
        <v>108.943876</v>
      </c>
      <c r="F61" s="2">
        <v>0.5796</v>
      </c>
      <c r="G61" s="2">
        <v>109.050349</v>
      </c>
      <c r="H61" s="2">
        <v>2.1239110000000001</v>
      </c>
      <c r="I61" s="2">
        <v>0.53234999999999999</v>
      </c>
      <c r="J61" s="2">
        <v>5.8611750000000002</v>
      </c>
      <c r="K61" s="1">
        <v>1223</v>
      </c>
      <c r="L61" s="1">
        <v>584</v>
      </c>
      <c r="M61" s="2">
        <v>4619.0668409999998</v>
      </c>
      <c r="N61" s="2">
        <v>5.8915420000000003</v>
      </c>
    </row>
    <row r="62" spans="1:14" x14ac:dyDescent="0.25">
      <c r="A62" s="1">
        <v>0</v>
      </c>
      <c r="B62" s="1">
        <v>42</v>
      </c>
      <c r="C62" s="2">
        <v>-0.44115599999999999</v>
      </c>
      <c r="D62" s="2">
        <v>5.7599999999999998E-2</v>
      </c>
      <c r="E62" s="2">
        <v>91.131213000000002</v>
      </c>
      <c r="F62" s="2">
        <v>0.24859100000000001</v>
      </c>
      <c r="G62" s="2">
        <v>90.707971999999998</v>
      </c>
      <c r="H62" s="2">
        <v>0.62421499999999996</v>
      </c>
      <c r="I62" s="2">
        <v>0.152252</v>
      </c>
      <c r="J62" s="2">
        <v>4.4014709999999999</v>
      </c>
      <c r="K62" s="1">
        <v>1389</v>
      </c>
      <c r="L62" s="1">
        <v>555</v>
      </c>
      <c r="M62" s="2">
        <v>5510.2504630000003</v>
      </c>
      <c r="N62" s="2">
        <v>9.1857209999999991</v>
      </c>
    </row>
    <row r="63" spans="1:14" x14ac:dyDescent="0.25">
      <c r="A63" s="1">
        <v>0</v>
      </c>
      <c r="B63" s="1">
        <v>44</v>
      </c>
      <c r="C63" s="2">
        <v>-0.27436700000000003</v>
      </c>
      <c r="D63" s="2">
        <v>9.2973E-2</v>
      </c>
      <c r="E63" s="2">
        <v>63.625909</v>
      </c>
      <c r="F63" s="2">
        <v>0.60045000000000004</v>
      </c>
      <c r="G63" s="2">
        <v>57.034604000000002</v>
      </c>
      <c r="H63" s="2">
        <v>2.4931920000000001</v>
      </c>
      <c r="I63" s="2">
        <v>0.941195</v>
      </c>
      <c r="J63" s="2">
        <v>6.3317730000000001</v>
      </c>
      <c r="K63" s="1">
        <v>942</v>
      </c>
      <c r="L63" s="1">
        <v>600</v>
      </c>
      <c r="M63" s="2">
        <v>5852.3407200000001</v>
      </c>
      <c r="N63" s="2">
        <v>6.3848339999999997</v>
      </c>
    </row>
    <row r="64" spans="1:14" x14ac:dyDescent="0.25">
      <c r="A64" s="1">
        <v>0</v>
      </c>
      <c r="B64" s="1">
        <v>45</v>
      </c>
      <c r="C64" s="2">
        <v>-0.431535</v>
      </c>
      <c r="D64" s="2">
        <v>6.6960000000000006E-2</v>
      </c>
      <c r="E64" s="2">
        <v>66.809752000000003</v>
      </c>
      <c r="F64" s="2">
        <v>0.24269299999999999</v>
      </c>
      <c r="G64" s="2">
        <v>66.380966999999998</v>
      </c>
      <c r="H64" s="2">
        <v>0.54711600000000005</v>
      </c>
      <c r="I64" s="2">
        <v>0.22358700000000001</v>
      </c>
      <c r="J64" s="2">
        <v>4.7762460000000004</v>
      </c>
      <c r="K64" s="1">
        <v>1121</v>
      </c>
      <c r="L64" s="1">
        <v>614</v>
      </c>
      <c r="M64" s="2">
        <v>6163.0411610000001</v>
      </c>
      <c r="N64" s="2">
        <v>8.6693549999999995</v>
      </c>
    </row>
    <row r="65" spans="1:14" x14ac:dyDescent="0.25">
      <c r="A65" s="1">
        <v>0</v>
      </c>
      <c r="B65" s="1">
        <v>46</v>
      </c>
      <c r="C65" s="2">
        <v>-0.49260300000000001</v>
      </c>
      <c r="D65" s="2">
        <v>9.7935999999999995E-2</v>
      </c>
      <c r="E65" s="2">
        <v>72.568235000000001</v>
      </c>
      <c r="F65" s="2">
        <v>0.27697300000000002</v>
      </c>
      <c r="G65" s="2">
        <v>72.630852000000004</v>
      </c>
      <c r="H65" s="2">
        <v>0.51852799999999999</v>
      </c>
      <c r="I65" s="2">
        <v>0.66224400000000005</v>
      </c>
      <c r="J65" s="2">
        <v>4.6346410000000002</v>
      </c>
      <c r="K65" s="1">
        <v>919</v>
      </c>
      <c r="L65" s="1">
        <v>528</v>
      </c>
      <c r="M65" s="2">
        <v>4140.845284</v>
      </c>
      <c r="N65" s="2">
        <v>5.3391609999999998</v>
      </c>
    </row>
    <row r="66" spans="1:14" x14ac:dyDescent="0.25">
      <c r="A66" s="1">
        <v>0</v>
      </c>
      <c r="B66" s="1">
        <v>47</v>
      </c>
      <c r="C66" s="2">
        <v>-0.66233799999999998</v>
      </c>
      <c r="D66" s="2">
        <v>6.7769999999999997E-2</v>
      </c>
      <c r="E66" s="2">
        <v>64.355276000000003</v>
      </c>
      <c r="F66" s="2">
        <v>0.37073</v>
      </c>
      <c r="G66" s="2">
        <v>65.996146999999993</v>
      </c>
      <c r="H66" s="2">
        <v>1.3375280000000001</v>
      </c>
      <c r="I66" s="2">
        <v>0.24701000000000001</v>
      </c>
      <c r="J66" s="2">
        <v>2.174118</v>
      </c>
      <c r="K66" s="1">
        <v>1076</v>
      </c>
      <c r="L66" s="1">
        <v>576</v>
      </c>
      <c r="M66" s="2">
        <v>4225.2258069999998</v>
      </c>
      <c r="N66" s="2">
        <v>7.822171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tabSelected="1" workbookViewId="0">
      <pane ySplit="1" topLeftCell="A20" activePane="bottomLeft" state="frozen"/>
      <selection pane="bottomLeft" activeCell="T6" activeCellId="1" sqref="T4 T6"/>
    </sheetView>
  </sheetViews>
  <sheetFormatPr defaultRowHeight="14.4" x14ac:dyDescent="0.25"/>
  <cols>
    <col min="13" max="13" width="10.5546875" bestFit="1" customWidth="1"/>
    <col min="14" max="14" width="9" bestFit="1" customWidth="1"/>
    <col min="17" max="17" width="9.5546875" bestFit="1" customWidth="1"/>
    <col min="32" max="33" width="9.5546875" bestFit="1" customWidth="1"/>
  </cols>
  <sheetData>
    <row r="1" spans="1:3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P1" s="1" t="s">
        <v>1</v>
      </c>
      <c r="Q1" s="1" t="s">
        <v>18</v>
      </c>
      <c r="R1" s="1" t="s">
        <v>19</v>
      </c>
      <c r="S1" t="s">
        <v>14</v>
      </c>
      <c r="T1" t="s">
        <v>15</v>
      </c>
      <c r="U1" t="s">
        <v>16</v>
      </c>
      <c r="V1" t="s">
        <v>20</v>
      </c>
      <c r="W1" t="s">
        <v>17</v>
      </c>
      <c r="X1" t="s">
        <v>34</v>
      </c>
      <c r="Y1" t="s">
        <v>21</v>
      </c>
      <c r="Z1" t="s">
        <v>30</v>
      </c>
      <c r="AA1" t="s">
        <v>31</v>
      </c>
      <c r="AB1" t="s">
        <v>23</v>
      </c>
      <c r="AC1" t="s">
        <v>27</v>
      </c>
      <c r="AD1" t="s">
        <v>28</v>
      </c>
      <c r="AE1" t="s">
        <v>29</v>
      </c>
      <c r="AF1" t="s">
        <v>24</v>
      </c>
      <c r="AG1" t="s">
        <v>26</v>
      </c>
    </row>
    <row r="2" spans="1:36" x14ac:dyDescent="0.25">
      <c r="A2" s="1">
        <v>0</v>
      </c>
      <c r="B2" s="1">
        <v>4</v>
      </c>
      <c r="C2" s="3">
        <v>-2.5727250000000002</v>
      </c>
      <c r="D2" s="3">
        <v>0.39487299999999997</v>
      </c>
      <c r="E2" s="3">
        <v>102.396297</v>
      </c>
      <c r="F2" s="3">
        <v>1.8551569999999999</v>
      </c>
      <c r="G2" s="3">
        <v>17.091366000000001</v>
      </c>
      <c r="H2" s="3">
        <v>7.8683839999999998</v>
      </c>
      <c r="I2" s="3">
        <v>362.20040299999999</v>
      </c>
      <c r="J2" s="6">
        <v>498.48097899999999</v>
      </c>
      <c r="K2" s="1">
        <v>812</v>
      </c>
      <c r="L2" s="7">
        <v>516</v>
      </c>
      <c r="M2" s="3">
        <v>22617.504205000001</v>
      </c>
      <c r="N2" s="3">
        <v>2.969948</v>
      </c>
      <c r="P2">
        <v>4</v>
      </c>
      <c r="Q2" s="4">
        <v>103.012655</v>
      </c>
      <c r="R2" s="4">
        <v>50.020091000000001</v>
      </c>
      <c r="S2" s="1">
        <f>K3-L2</f>
        <v>735</v>
      </c>
      <c r="T2" s="8">
        <f>M3/1000</f>
        <v>39.845096448999996</v>
      </c>
      <c r="U2" s="4">
        <f>J2</f>
        <v>498.48097899999999</v>
      </c>
      <c r="V2" s="4">
        <f>J4</f>
        <v>32.797029000000002</v>
      </c>
      <c r="W2" s="4">
        <f>N3</f>
        <v>7.47607</v>
      </c>
      <c r="X2">
        <f>872-487</f>
        <v>385</v>
      </c>
      <c r="Y2" s="3">
        <f>R2/Q2</f>
        <v>0.48557229206450414</v>
      </c>
      <c r="Z2" s="3">
        <f>Q2^(0.1-1)*(1-Y2^0.1)/(1-Y2)</f>
        <v>2.0906208916716168E-3</v>
      </c>
      <c r="AA2" s="3">
        <f>Q2^(0.3-1)*(1-Y2^0.3)/(1-Y2)</f>
        <v>1.4769141355635255E-2</v>
      </c>
      <c r="AB2" s="3">
        <f>Q2^(0.5-1)*(1-Y2^0.5)/(1-Y2)</f>
        <v>5.8065254129366584E-2</v>
      </c>
      <c r="AC2" s="3">
        <f>Q2^(0.7-1)*(1-Y2^0.7)/(1-Y2)</f>
        <v>0.19209108042596859</v>
      </c>
      <c r="AD2" s="3">
        <f>Q2^(0.9-1)*(1-Y2^0.9)/(1-Y2)</f>
        <v>0.58460206229114675</v>
      </c>
      <c r="AE2" s="3"/>
      <c r="AF2" s="3">
        <f>Q2^(1.5-1)*(1-Y2^1.5)/(1-Y2)</f>
        <v>13.053944308532769</v>
      </c>
      <c r="AG2" s="3">
        <f>Q2^(2-1)*(1-Y2^2)/(1-Y2)</f>
        <v>153.03274599999997</v>
      </c>
      <c r="AH2" s="3"/>
      <c r="AI2" s="3"/>
      <c r="AJ2" s="3"/>
    </row>
    <row r="3" spans="1:36" x14ac:dyDescent="0.25">
      <c r="A3" s="1">
        <v>0</v>
      </c>
      <c r="B3" s="1">
        <v>4</v>
      </c>
      <c r="C3" s="3">
        <v>-0.48052800000000001</v>
      </c>
      <c r="D3" s="3">
        <v>8.1442000000000001E-2</v>
      </c>
      <c r="E3" s="6">
        <v>103.012655</v>
      </c>
      <c r="F3" s="3">
        <v>0.44234099999999998</v>
      </c>
      <c r="G3" s="3">
        <v>100.087926</v>
      </c>
      <c r="H3" s="3">
        <v>1.663084</v>
      </c>
      <c r="I3" s="6">
        <v>32.797029000000002</v>
      </c>
      <c r="J3" s="3">
        <v>362.20040299999999</v>
      </c>
      <c r="K3" s="7">
        <v>1251</v>
      </c>
      <c r="L3" s="1">
        <v>812</v>
      </c>
      <c r="M3" s="6">
        <v>39845.096448999997</v>
      </c>
      <c r="N3" s="6">
        <v>7.47607</v>
      </c>
      <c r="Q3" s="4"/>
      <c r="R3" s="4"/>
      <c r="S3" s="5"/>
      <c r="T3" s="4"/>
      <c r="U3" s="4"/>
      <c r="V3" s="4"/>
      <c r="W3" s="4"/>
      <c r="Y3" s="3" t="s">
        <v>22</v>
      </c>
      <c r="Z3" s="3"/>
      <c r="AA3" s="3"/>
      <c r="AB3" s="3"/>
      <c r="AC3" s="3"/>
      <c r="AD3" s="3"/>
      <c r="AE3" s="3"/>
      <c r="AF3" s="3" t="s">
        <v>25</v>
      </c>
      <c r="AG3" s="3"/>
      <c r="AH3" s="3"/>
      <c r="AI3" s="3"/>
      <c r="AJ3" s="3"/>
    </row>
    <row r="4" spans="1:36" x14ac:dyDescent="0.25">
      <c r="A4" s="1">
        <v>0</v>
      </c>
      <c r="B4" s="1">
        <v>4</v>
      </c>
      <c r="C4" s="3">
        <v>-0.38076900000000002</v>
      </c>
      <c r="D4" s="3">
        <v>3.9232999999999997E-2</v>
      </c>
      <c r="E4" s="6">
        <v>50.020091000000001</v>
      </c>
      <c r="F4" s="3">
        <v>0.31306</v>
      </c>
      <c r="G4" s="3">
        <v>46.889100999999997</v>
      </c>
      <c r="H4" s="3">
        <v>1.0795079999999999</v>
      </c>
      <c r="I4" s="3">
        <v>0.57067900000000005</v>
      </c>
      <c r="J4" s="3">
        <v>32.797029000000002</v>
      </c>
      <c r="K4" s="1">
        <v>1571</v>
      </c>
      <c r="L4" s="1">
        <v>1251</v>
      </c>
      <c r="M4" s="3">
        <v>48125.938644000002</v>
      </c>
      <c r="N4" s="3">
        <v>14.12801</v>
      </c>
      <c r="P4">
        <v>6</v>
      </c>
      <c r="Q4" s="8">
        <f>E5</f>
        <v>255.91900000000001</v>
      </c>
      <c r="R4" s="4">
        <f>E6</f>
        <v>58.872517000000002</v>
      </c>
      <c r="S4" s="1">
        <f>K5-L5</f>
        <v>360</v>
      </c>
      <c r="T4" s="8">
        <f>M5/1000</f>
        <v>7.5469992069999998</v>
      </c>
      <c r="U4" s="4">
        <f>J5</f>
        <v>206.62106800000001</v>
      </c>
      <c r="V4" s="4">
        <f>I5</f>
        <v>190.98807300000001</v>
      </c>
      <c r="W4" s="4">
        <f>N5</f>
        <v>1.386736</v>
      </c>
      <c r="X4">
        <f>967-592</f>
        <v>375</v>
      </c>
      <c r="Y4" s="3">
        <f t="shared" ref="Y4:Y22" si="0">R4/Q4</f>
        <v>0.23004355675037805</v>
      </c>
      <c r="Z4" s="3">
        <f t="shared" ref="Z4:Z22" si="1">Q4^(0.1-1)*(1-Y4^0.1)/(1-Y4)</f>
        <v>1.2075034683070537E-3</v>
      </c>
      <c r="AA4" s="3">
        <f t="shared" ref="AA4:AA22" si="2">Q4^(0.3-1)*(1-Y4^0.3)/(1-Y4)</f>
        <v>9.5484215803756101E-3</v>
      </c>
      <c r="AB4" s="3">
        <f>Q4^(0.5-1)*(1-Y4^0.5)/(1-Y4)</f>
        <v>4.2247015014524894E-2</v>
      </c>
      <c r="AC4" s="3">
        <f>Q4^(0.7-1)*(1-Y4^0.7)/(1-Y4)</f>
        <v>0.15811796635479949</v>
      </c>
      <c r="AD4" s="3">
        <f t="shared" ref="AD4:AD22" si="3">Q4^(0.9-1)*(1-Y4^0.9)/(1-Y4)</f>
        <v>0.54720299343830847</v>
      </c>
      <c r="AE4" s="3"/>
      <c r="AF4" s="3">
        <f>Q4^(1.5-1)*(1-Y4^1.5)/(1-Y4)</f>
        <v>18.48465665938436</v>
      </c>
      <c r="AG4" s="3">
        <f>Q4^(2-1)*(1-Y4^2)/(1-Y4)</f>
        <v>314.791517</v>
      </c>
      <c r="AH4" s="3"/>
      <c r="AI4" s="3"/>
      <c r="AJ4" s="3"/>
    </row>
    <row r="5" spans="1:36" x14ac:dyDescent="0.25">
      <c r="A5" s="1">
        <v>0</v>
      </c>
      <c r="B5" s="1">
        <v>6</v>
      </c>
      <c r="C5" s="3">
        <v>-8.9215499999999999</v>
      </c>
      <c r="D5" s="3">
        <v>3.1297830000000002</v>
      </c>
      <c r="E5" s="6">
        <v>255.91900000000001</v>
      </c>
      <c r="F5" s="3">
        <v>1.722105</v>
      </c>
      <c r="G5" s="3">
        <v>256.72194400000001</v>
      </c>
      <c r="H5" s="3">
        <v>2.8117260000000002</v>
      </c>
      <c r="I5" s="6">
        <v>190.98807300000001</v>
      </c>
      <c r="J5" s="6">
        <v>206.62106800000001</v>
      </c>
      <c r="K5" s="7">
        <v>963</v>
      </c>
      <c r="L5" s="7">
        <v>603</v>
      </c>
      <c r="M5" s="6">
        <v>7546.9992069999998</v>
      </c>
      <c r="N5" s="6">
        <v>1.386736</v>
      </c>
      <c r="P5">
        <v>7</v>
      </c>
      <c r="Q5" s="4">
        <f>E8</f>
        <v>149.638644</v>
      </c>
      <c r="R5" s="4">
        <f>E9</f>
        <v>57.396161999999997</v>
      </c>
      <c r="S5" s="1">
        <f>K8-L8</f>
        <v>452</v>
      </c>
      <c r="T5" s="4">
        <f>M8/1000</f>
        <v>9.2350012259999996</v>
      </c>
      <c r="U5" s="4">
        <f>J8</f>
        <v>62.660808000000003</v>
      </c>
      <c r="V5" s="4">
        <f>I8</f>
        <v>41.293337000000001</v>
      </c>
      <c r="W5" s="4">
        <f>N8</f>
        <v>3.0859009999999998</v>
      </c>
      <c r="X5">
        <f>1047-757</f>
        <v>290</v>
      </c>
      <c r="Y5" s="3">
        <f t="shared" si="0"/>
        <v>0.38356510367736291</v>
      </c>
      <c r="Z5" s="3">
        <f t="shared" si="1"/>
        <v>1.6345886265106625E-3</v>
      </c>
      <c r="AA5" s="3">
        <f t="shared" si="2"/>
        <v>1.2168881303881125E-2</v>
      </c>
      <c r="AB5" s="3">
        <f>Q5^(0.5-1)*(1-Y5^0.5)/(1-Y5)</f>
        <v>5.0482835516207539E-2</v>
      </c>
      <c r="AC5" s="3">
        <f>Q5^(0.7-1)*(1-Y5^0.7)/(1-Y5)</f>
        <v>0.17645334230760723</v>
      </c>
      <c r="AD5" s="3">
        <f t="shared" si="3"/>
        <v>0.56810944470939184</v>
      </c>
      <c r="AE5" s="3"/>
      <c r="AF5" s="3">
        <f>Q5^(1.5-1)*(1-Y5^1.5)/(1-Y5)</f>
        <v>15.130208527062296</v>
      </c>
      <c r="AG5" s="3">
        <f>Q5^(2-1)*(1-Y5^2)/(1-Y5)</f>
        <v>207.03480599999997</v>
      </c>
      <c r="AH5" s="3"/>
      <c r="AI5" s="3"/>
      <c r="AJ5" s="3"/>
    </row>
    <row r="6" spans="1:36" x14ac:dyDescent="0.25">
      <c r="A6" s="1">
        <v>0</v>
      </c>
      <c r="B6" s="1">
        <v>6</v>
      </c>
      <c r="C6" s="3">
        <v>0.109211</v>
      </c>
      <c r="D6" s="3">
        <v>9.4449000000000005E-2</v>
      </c>
      <c r="E6" s="6">
        <v>58.872517000000002</v>
      </c>
      <c r="F6" s="3">
        <v>0.756166</v>
      </c>
      <c r="G6" s="3">
        <v>28.942478000000001</v>
      </c>
      <c r="H6" s="3">
        <v>2.9727839999999999</v>
      </c>
      <c r="I6" s="3">
        <v>41.837398999999998</v>
      </c>
      <c r="J6" s="3">
        <v>190.98807300000001</v>
      </c>
      <c r="K6" s="1">
        <v>1212</v>
      </c>
      <c r="L6" s="1">
        <v>963</v>
      </c>
      <c r="M6" s="3">
        <v>26746.929077000001</v>
      </c>
      <c r="N6" s="3">
        <v>5.9173819999999999</v>
      </c>
      <c r="P6">
        <v>8</v>
      </c>
      <c r="Q6" s="4">
        <f>E11</f>
        <v>139.71823699999999</v>
      </c>
      <c r="R6" s="4">
        <f>E12</f>
        <v>58.203493999999999</v>
      </c>
      <c r="S6" s="1">
        <f>K11-L11</f>
        <v>250</v>
      </c>
      <c r="T6" s="8">
        <f>M11/1000</f>
        <v>9.458841284</v>
      </c>
      <c r="U6" s="4">
        <f>J11</f>
        <v>209.888633</v>
      </c>
      <c r="V6" s="4">
        <f>I11</f>
        <v>175.001598</v>
      </c>
      <c r="W6" s="4">
        <f>N11</f>
        <v>1.757935</v>
      </c>
      <c r="X6">
        <f>883-716</f>
        <v>167</v>
      </c>
      <c r="Y6" s="3">
        <f t="shared" si="0"/>
        <v>0.4165776440479993</v>
      </c>
      <c r="Z6" s="3">
        <f t="shared" si="1"/>
        <v>1.6856186357383407E-3</v>
      </c>
      <c r="AA6" s="3">
        <f t="shared" si="2"/>
        <v>1.2474127270895736E-2</v>
      </c>
      <c r="AB6" s="3">
        <f>Q6^(0.5-1)*(1-Y6^0.5)/(1-Y6)</f>
        <v>5.1415551490031054E-2</v>
      </c>
      <c r="AC6" s="3">
        <f>Q6^(0.7-1)*(1-Y6^0.7)/(1-Y6)</f>
        <v>0.17846677120538715</v>
      </c>
      <c r="AD6" s="3">
        <f t="shared" si="3"/>
        <v>0.5703296448477273</v>
      </c>
      <c r="AE6" s="3"/>
      <c r="AF6" s="3">
        <f>Q6^(1.5-1)*(1-Y6^1.5)/(1-Y6)</f>
        <v>14.812811652091389</v>
      </c>
      <c r="AG6" s="3">
        <f>Q6^(2-1)*(1-Y6^2)/(1-Y6)</f>
        <v>197.92173099999999</v>
      </c>
      <c r="AH6" s="3"/>
      <c r="AI6" s="3"/>
      <c r="AJ6" s="3"/>
    </row>
    <row r="7" spans="1:36" x14ac:dyDescent="0.25">
      <c r="A7" s="1">
        <v>0</v>
      </c>
      <c r="B7" s="1">
        <v>6</v>
      </c>
      <c r="C7" s="3">
        <v>-0.63939100000000004</v>
      </c>
      <c r="D7" s="3">
        <v>2.4382000000000001E-2</v>
      </c>
      <c r="E7" s="3">
        <v>39.204349000000001</v>
      </c>
      <c r="F7" s="3">
        <v>0.77903599999999995</v>
      </c>
      <c r="G7" s="3">
        <v>32.032300999999997</v>
      </c>
      <c r="H7" s="3">
        <v>3.9039670000000002</v>
      </c>
      <c r="I7" s="3">
        <v>0.15757599999999999</v>
      </c>
      <c r="J7" s="3">
        <v>41.837398999999998</v>
      </c>
      <c r="K7" s="1">
        <v>1651</v>
      </c>
      <c r="L7" s="1">
        <v>1212</v>
      </c>
      <c r="M7" s="3">
        <v>37577.263844000001</v>
      </c>
      <c r="N7" s="3">
        <v>16.223047000000001</v>
      </c>
      <c r="Q7" s="4"/>
      <c r="R7" s="4"/>
      <c r="S7" s="5"/>
      <c r="T7" s="4"/>
      <c r="U7" s="4"/>
      <c r="V7" s="4"/>
      <c r="W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>
        <v>0</v>
      </c>
      <c r="B8" s="1">
        <v>7</v>
      </c>
      <c r="C8" s="3">
        <v>-2.5805000000000002E-2</v>
      </c>
      <c r="D8" s="3">
        <v>0.40816799999999998</v>
      </c>
      <c r="E8" s="6">
        <v>149.638644</v>
      </c>
      <c r="F8" s="3">
        <v>0.65706200000000003</v>
      </c>
      <c r="G8" s="3">
        <v>148.239045</v>
      </c>
      <c r="H8" s="3">
        <v>1.886517</v>
      </c>
      <c r="I8" s="6">
        <v>41.293337000000001</v>
      </c>
      <c r="J8" s="6">
        <v>62.660808000000003</v>
      </c>
      <c r="K8" s="7">
        <v>1215</v>
      </c>
      <c r="L8" s="7">
        <v>763</v>
      </c>
      <c r="M8" s="6">
        <v>9235.0012260000003</v>
      </c>
      <c r="N8" s="6">
        <v>3.0859009999999998</v>
      </c>
      <c r="Q8" s="4"/>
      <c r="R8" s="4"/>
      <c r="S8" s="5"/>
      <c r="T8" s="4"/>
      <c r="U8" s="4"/>
      <c r="V8" s="4"/>
      <c r="W8" s="4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1">
        <v>0</v>
      </c>
      <c r="B9" s="1">
        <v>7</v>
      </c>
      <c r="C9" s="3">
        <v>6.4310999999999993E-2</v>
      </c>
      <c r="D9" s="3">
        <v>0.114997</v>
      </c>
      <c r="E9" s="6">
        <v>57.396161999999997</v>
      </c>
      <c r="F9" s="3">
        <v>0.57924500000000001</v>
      </c>
      <c r="G9" s="3">
        <v>53.053255</v>
      </c>
      <c r="H9" s="3">
        <v>1.779102</v>
      </c>
      <c r="I9" s="3">
        <v>11.437011</v>
      </c>
      <c r="J9" s="3">
        <v>41.293337000000001</v>
      </c>
      <c r="K9" s="1">
        <v>1390</v>
      </c>
      <c r="L9" s="1">
        <v>1215</v>
      </c>
      <c r="M9" s="3">
        <v>15311.377782</v>
      </c>
      <c r="N9" s="3">
        <v>5.9969770000000002</v>
      </c>
      <c r="P9">
        <v>11</v>
      </c>
      <c r="Q9" s="4">
        <f>E14</f>
        <v>135.229241</v>
      </c>
      <c r="R9" s="4">
        <f>E15</f>
        <v>73.901133000000002</v>
      </c>
      <c r="S9" s="1">
        <f>K14-L14</f>
        <v>978</v>
      </c>
      <c r="T9" s="4">
        <f>M14/1000</f>
        <v>13.360053712999999</v>
      </c>
      <c r="U9" s="4">
        <f>J14</f>
        <v>31.35436</v>
      </c>
      <c r="V9" s="4">
        <f>I14</f>
        <v>5.3022080000000003</v>
      </c>
      <c r="W9" s="4">
        <f>N14</f>
        <v>7.1809409999999998</v>
      </c>
      <c r="X9">
        <f>1186-726</f>
        <v>460</v>
      </c>
      <c r="Y9" s="3">
        <f t="shared" si="0"/>
        <v>0.54648781915443867</v>
      </c>
      <c r="Z9" s="3">
        <f t="shared" si="1"/>
        <v>1.56172441772987E-3</v>
      </c>
      <c r="AA9" s="3">
        <f t="shared" si="2"/>
        <v>1.1782195266943874E-2</v>
      </c>
      <c r="AB9" s="3">
        <f>Q9^(0.5-1)*(1-Y9^0.5)/(1-Y9)</f>
        <v>4.9442810098319724E-2</v>
      </c>
      <c r="AC9" s="3">
        <f>Q9^(0.7-1)*(1-Y9^0.7)/(1-Y9)</f>
        <v>0.17449598810712064</v>
      </c>
      <c r="AD9" s="3">
        <f t="shared" si="3"/>
        <v>0.56624968705765921</v>
      </c>
      <c r="AE9" s="3"/>
      <c r="AF9" s="3">
        <f>Q9^(1.5-1)*(1-Y9^1.5)/(1-Y9)</f>
        <v>15.282690501213953</v>
      </c>
      <c r="AG9" s="3">
        <f>Q9^(2-1)*(1-Y9^2)/(1-Y9)</f>
        <v>209.13037399999999</v>
      </c>
      <c r="AH9" s="3"/>
      <c r="AI9" s="3"/>
      <c r="AJ9" s="3"/>
    </row>
    <row r="10" spans="1:36" x14ac:dyDescent="0.25">
      <c r="A10" s="1">
        <v>0</v>
      </c>
      <c r="B10" s="1">
        <v>7</v>
      </c>
      <c r="C10" s="3">
        <v>-0.40954600000000002</v>
      </c>
      <c r="D10" s="3">
        <v>2.1520999999999998E-2</v>
      </c>
      <c r="E10" s="3">
        <v>30.165521999999999</v>
      </c>
      <c r="F10" s="3">
        <v>0.13372899999999999</v>
      </c>
      <c r="G10" s="3">
        <v>29.657705</v>
      </c>
      <c r="H10" s="3">
        <v>0.35350199999999998</v>
      </c>
      <c r="I10" s="3">
        <v>8.7304999999999994E-2</v>
      </c>
      <c r="J10" s="3">
        <v>11.437011</v>
      </c>
      <c r="K10" s="1">
        <v>1648</v>
      </c>
      <c r="L10" s="1">
        <v>1390</v>
      </c>
      <c r="M10" s="3">
        <v>21131.088756000001</v>
      </c>
      <c r="N10" s="3">
        <v>14.897561</v>
      </c>
      <c r="P10">
        <v>12</v>
      </c>
      <c r="Q10" s="4">
        <f>E16</f>
        <v>132.754212</v>
      </c>
      <c r="R10" s="4">
        <f>E17</f>
        <v>85.090459999999993</v>
      </c>
      <c r="S10" s="1">
        <f>K16-L16</f>
        <v>654</v>
      </c>
      <c r="T10" s="4">
        <f>M16/1000</f>
        <v>14.200726489000001</v>
      </c>
      <c r="U10" s="4">
        <f>J16</f>
        <v>115.176087</v>
      </c>
      <c r="V10" s="4">
        <f>I16</f>
        <v>19.421199000000001</v>
      </c>
      <c r="W10" s="4">
        <f>N16</f>
        <v>4.9772249999999998</v>
      </c>
      <c r="X10">
        <f>919-656</f>
        <v>263</v>
      </c>
      <c r="Y10" s="3">
        <f t="shared" si="0"/>
        <v>0.6409624125523038</v>
      </c>
      <c r="Z10" s="3">
        <f t="shared" si="1"/>
        <v>1.4881394821152786E-3</v>
      </c>
      <c r="AA10" s="3">
        <f t="shared" si="2"/>
        <v>1.1359106141537619E-2</v>
      </c>
      <c r="AB10" s="3">
        <f>Q10^(0.5-1)*(1-Y10^0.5)/(1-Y10)</f>
        <v>4.8201248834686655E-2</v>
      </c>
      <c r="AC10" s="3">
        <f>Q10^(0.7-1)*(1-Y10^0.7)/(1-Y10)</f>
        <v>0.1719243442825911</v>
      </c>
      <c r="AD10" s="3">
        <f t="shared" si="3"/>
        <v>0.56353109931587653</v>
      </c>
      <c r="AE10" s="3"/>
      <c r="AF10" s="3">
        <f>Q10^(1.5-1)*(1-Y10^1.5)/(1-Y10)</f>
        <v>15.623367841502013</v>
      </c>
      <c r="AG10" s="3">
        <f>Q10^(2-1)*(1-Y10^2)/(1-Y10)</f>
        <v>217.84467200000003</v>
      </c>
      <c r="AH10" s="3"/>
      <c r="AI10" s="3"/>
      <c r="AJ10" s="3"/>
    </row>
    <row r="11" spans="1:36" x14ac:dyDescent="0.25">
      <c r="A11" s="1">
        <v>0</v>
      </c>
      <c r="B11" s="1">
        <v>8</v>
      </c>
      <c r="C11" s="3">
        <v>7.6530000000000001E-3</v>
      </c>
      <c r="D11" s="3">
        <v>1.337799</v>
      </c>
      <c r="E11" s="6">
        <v>139.71823699999999</v>
      </c>
      <c r="F11" s="3">
        <v>1.418431</v>
      </c>
      <c r="G11" s="3">
        <v>137.996174</v>
      </c>
      <c r="H11" s="3">
        <v>4.2118330000000004</v>
      </c>
      <c r="I11" s="6">
        <v>175.001598</v>
      </c>
      <c r="J11" s="6">
        <v>209.888633</v>
      </c>
      <c r="K11" s="7">
        <v>973</v>
      </c>
      <c r="L11" s="7">
        <v>723</v>
      </c>
      <c r="M11" s="6">
        <v>9458.8412840000001</v>
      </c>
      <c r="N11" s="6">
        <v>1.757935</v>
      </c>
      <c r="Q11" s="4"/>
      <c r="R11" s="4"/>
      <c r="S11" s="5"/>
      <c r="T11" s="4"/>
      <c r="U11" s="4"/>
      <c r="V11" s="4"/>
      <c r="W11" s="4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>
        <v>0</v>
      </c>
      <c r="B12" s="1">
        <v>8</v>
      </c>
      <c r="C12" s="3">
        <v>-0.21132400000000001</v>
      </c>
      <c r="D12" s="3">
        <v>2.8570000000000002E-2</v>
      </c>
      <c r="E12" s="6">
        <v>58.203493999999999</v>
      </c>
      <c r="F12" s="3">
        <v>0.41419400000000001</v>
      </c>
      <c r="G12" s="3">
        <v>46.367829999999998</v>
      </c>
      <c r="H12" s="3">
        <v>1.9653890000000001</v>
      </c>
      <c r="I12" s="3">
        <v>14.946263</v>
      </c>
      <c r="J12" s="3">
        <v>175.001598</v>
      </c>
      <c r="K12" s="1">
        <v>1263</v>
      </c>
      <c r="L12" s="1">
        <v>973</v>
      </c>
      <c r="M12" s="3">
        <v>25539.824255</v>
      </c>
      <c r="N12" s="3">
        <v>6.6930690000000004</v>
      </c>
      <c r="Q12" s="4"/>
      <c r="R12" s="4"/>
      <c r="S12" s="5"/>
      <c r="T12" s="4"/>
      <c r="U12" s="4"/>
      <c r="V12" s="4"/>
      <c r="W12" s="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1">
        <v>0</v>
      </c>
      <c r="B13" s="1">
        <v>8</v>
      </c>
      <c r="C13" s="3">
        <v>-0.42057899999999998</v>
      </c>
      <c r="D13" s="3">
        <v>2.2838000000000001E-2</v>
      </c>
      <c r="E13" s="3">
        <v>31.468686999999999</v>
      </c>
      <c r="F13" s="3">
        <v>0.201318</v>
      </c>
      <c r="G13" s="3">
        <v>30.824092</v>
      </c>
      <c r="H13" s="3">
        <v>0.69335999999999998</v>
      </c>
      <c r="I13" s="3">
        <v>0.15012300000000001</v>
      </c>
      <c r="J13" s="3">
        <v>14.946263</v>
      </c>
      <c r="K13" s="1">
        <v>1478</v>
      </c>
      <c r="L13" s="1">
        <v>1263</v>
      </c>
      <c r="M13" s="3">
        <v>30696.759827999998</v>
      </c>
      <c r="N13" s="3">
        <v>13.385482</v>
      </c>
      <c r="P13">
        <v>15</v>
      </c>
      <c r="Q13" s="4">
        <f>E20</f>
        <v>178.531893</v>
      </c>
      <c r="R13" s="4">
        <f>E21</f>
        <v>102.94216900000001</v>
      </c>
      <c r="S13" s="1">
        <f>K20-L20</f>
        <v>579</v>
      </c>
      <c r="T13" s="4">
        <f>M20/1000</f>
        <v>10.545999159999999</v>
      </c>
      <c r="U13" s="4">
        <f>J20</f>
        <v>77.547448000000003</v>
      </c>
      <c r="V13" s="4">
        <f>I20</f>
        <v>53.669414000000003</v>
      </c>
      <c r="W13" s="4">
        <f>N20</f>
        <v>3.1546439999999998</v>
      </c>
      <c r="X13">
        <f>731-486</f>
        <v>245</v>
      </c>
      <c r="Y13" s="3">
        <f t="shared" si="0"/>
        <v>0.57660380602137018</v>
      </c>
      <c r="Z13" s="3">
        <f t="shared" si="1"/>
        <v>1.1902650364591383E-3</v>
      </c>
      <c r="AA13" s="3">
        <f t="shared" si="2"/>
        <v>9.5418943207988705E-3</v>
      </c>
      <c r="AB13" s="3">
        <f>Q13^(0.5-1)*(1-Y13^0.5)/(1-Y13)</f>
        <v>4.2539389241874455E-2</v>
      </c>
      <c r="AC13" s="3">
        <f>Q13^(0.7-1)*(1-Y13^0.7)/(1-Y13)</f>
        <v>0.15946462355424953</v>
      </c>
      <c r="AD13" s="3">
        <f t="shared" si="3"/>
        <v>0.54952755417066401</v>
      </c>
      <c r="AE13" s="3"/>
      <c r="AF13" s="3">
        <f>Q13^(1.5-1)*(1-Y13^1.5)/(1-Y13)</f>
        <v>17.740679724599051</v>
      </c>
      <c r="AG13" s="3">
        <f>Q13^(2-1)*(1-Y13^2)/(1-Y13)</f>
        <v>281.474062</v>
      </c>
      <c r="AH13" s="3"/>
      <c r="AI13" s="3"/>
      <c r="AJ13" s="3"/>
    </row>
    <row r="14" spans="1:36" x14ac:dyDescent="0.25">
      <c r="A14" s="1">
        <v>0</v>
      </c>
      <c r="B14" s="1">
        <v>11</v>
      </c>
      <c r="C14" s="3">
        <v>-0.56769700000000001</v>
      </c>
      <c r="D14" s="3">
        <v>8.0033999999999994E-2</v>
      </c>
      <c r="E14" s="6">
        <v>135.229241</v>
      </c>
      <c r="F14" s="3">
        <v>0.45175599999999999</v>
      </c>
      <c r="G14" s="3">
        <v>132.296064</v>
      </c>
      <c r="H14" s="3">
        <v>2.4694310000000002</v>
      </c>
      <c r="I14" s="6">
        <v>5.3022080000000003</v>
      </c>
      <c r="J14" s="6">
        <v>31.35436</v>
      </c>
      <c r="K14" s="7">
        <v>1724</v>
      </c>
      <c r="L14" s="7">
        <v>746</v>
      </c>
      <c r="M14" s="6">
        <v>13360.053712999999</v>
      </c>
      <c r="N14" s="6">
        <v>7.1809409999999998</v>
      </c>
      <c r="P14">
        <v>16</v>
      </c>
      <c r="Q14" s="4">
        <f>E23</f>
        <v>179.73496800000001</v>
      </c>
      <c r="R14" s="4">
        <f>E24</f>
        <v>113.466448</v>
      </c>
      <c r="S14" s="1">
        <f>K23-L23</f>
        <v>1017</v>
      </c>
      <c r="T14" s="4">
        <f>M23/1000</f>
        <v>14.222131601999999</v>
      </c>
      <c r="U14" s="4">
        <f>J23</f>
        <v>60.065069000000001</v>
      </c>
      <c r="V14" s="4">
        <f>I23</f>
        <v>16.273944</v>
      </c>
      <c r="W14" s="4">
        <f>N23</f>
        <v>5.4581480000000004</v>
      </c>
      <c r="X14">
        <f>831-445</f>
        <v>386</v>
      </c>
      <c r="Y14" s="3">
        <f t="shared" si="0"/>
        <v>0.63129867973159237</v>
      </c>
      <c r="Z14" s="3">
        <f t="shared" si="1"/>
        <v>1.1400958452708818E-3</v>
      </c>
      <c r="AA14" s="3">
        <f t="shared" si="2"/>
        <v>9.2324902621194246E-3</v>
      </c>
      <c r="AB14" s="3">
        <f>Q14^(0.5-1)*(1-Y14^0.5)/(1-Y14)</f>
        <v>4.1565195367416374E-2</v>
      </c>
      <c r="AC14" s="3">
        <f>Q14^(0.7-1)*(1-Y14^0.7)/(1-Y14)</f>
        <v>0.15729884765342536</v>
      </c>
      <c r="AD14" s="3">
        <f t="shared" si="3"/>
        <v>0.54706934288966869</v>
      </c>
      <c r="AE14" s="3"/>
      <c r="AF14" s="3">
        <f>Q14^(1.5-1)*(1-Y14^1.5)/(1-Y14)</f>
        <v>18.122782145833789</v>
      </c>
      <c r="AG14" s="3">
        <f>Q14^(2-1)*(1-Y14^2)/(1-Y14)</f>
        <v>293.20141599999999</v>
      </c>
      <c r="AH14" s="3"/>
      <c r="AI14" s="3"/>
      <c r="AJ14" s="3"/>
    </row>
    <row r="15" spans="1:36" x14ac:dyDescent="0.25">
      <c r="A15" s="1">
        <v>0</v>
      </c>
      <c r="B15" s="1">
        <v>11</v>
      </c>
      <c r="C15" s="3">
        <v>-0.42175299999999999</v>
      </c>
      <c r="D15" s="3">
        <v>5.3121000000000002E-2</v>
      </c>
      <c r="E15" s="6">
        <v>73.901133000000002</v>
      </c>
      <c r="F15" s="3">
        <v>0.67076499999999994</v>
      </c>
      <c r="G15" s="3">
        <v>65.847515000000001</v>
      </c>
      <c r="H15" s="3">
        <v>2.8710800000000001</v>
      </c>
      <c r="I15" s="3">
        <v>0.14586399999999999</v>
      </c>
      <c r="J15" s="3">
        <v>5.3022080000000003</v>
      </c>
      <c r="K15" s="1">
        <v>2166</v>
      </c>
      <c r="L15" s="1">
        <v>1724</v>
      </c>
      <c r="M15" s="3">
        <v>17100.401494999998</v>
      </c>
      <c r="N15" s="3">
        <v>13.664529999999999</v>
      </c>
      <c r="P15">
        <v>17</v>
      </c>
      <c r="Q15" s="4">
        <f>E25</f>
        <v>187.10244299999999</v>
      </c>
      <c r="R15" s="4">
        <f>E26</f>
        <v>127.062116</v>
      </c>
      <c r="S15" s="1">
        <f>K25-L25</f>
        <v>510</v>
      </c>
      <c r="T15" s="4">
        <f>M25/1000</f>
        <v>4.4469775609999997</v>
      </c>
      <c r="U15" s="4">
        <f>J25</f>
        <v>16.188768</v>
      </c>
      <c r="V15" s="4">
        <f>I25</f>
        <v>10.759861000000001</v>
      </c>
      <c r="W15" s="4">
        <f>N25</f>
        <v>2.711325</v>
      </c>
      <c r="X15">
        <f>610-432</f>
        <v>178</v>
      </c>
      <c r="Y15" s="3">
        <f t="shared" si="0"/>
        <v>0.67910452671107024</v>
      </c>
      <c r="Z15" s="3">
        <f t="shared" si="1"/>
        <v>1.0667867063451947E-3</v>
      </c>
      <c r="AA15" s="3">
        <f t="shared" si="2"/>
        <v>8.7705164536876681E-3</v>
      </c>
      <c r="AB15" s="3">
        <f>Q15^(0.5-1)*(1-Y15^0.5)/(1-Y15)</f>
        <v>4.0078999250667699E-2</v>
      </c>
      <c r="AC15" s="3">
        <f>Q15^(0.7-1)*(1-Y15^0.7)/(1-Y15)</f>
        <v>0.15392325223933792</v>
      </c>
      <c r="AD15" s="3">
        <f t="shared" si="3"/>
        <v>0.54315529012422803</v>
      </c>
      <c r="AE15" s="3"/>
      <c r="AF15" s="3">
        <f>Q15^(1.5-1)*(1-Y15^1.5)/(1-Y15)</f>
        <v>18.771061957323433</v>
      </c>
      <c r="AG15" s="3">
        <f>Q15^(2-1)*(1-Y15^2)/(1-Y15)</f>
        <v>314.164559</v>
      </c>
      <c r="AH15" s="3"/>
      <c r="AI15" s="3"/>
      <c r="AJ15" s="3"/>
    </row>
    <row r="16" spans="1:36" x14ac:dyDescent="0.25">
      <c r="A16" s="1">
        <v>0</v>
      </c>
      <c r="B16" s="1">
        <v>12</v>
      </c>
      <c r="C16" s="3">
        <v>-0.91233699999999995</v>
      </c>
      <c r="D16" s="3">
        <v>0.132711</v>
      </c>
      <c r="E16" s="6">
        <v>132.754212</v>
      </c>
      <c r="F16" s="3">
        <v>0.90982099999999999</v>
      </c>
      <c r="G16" s="3">
        <v>123.711358</v>
      </c>
      <c r="H16" s="3">
        <v>3.9105439999999998</v>
      </c>
      <c r="I16" s="6">
        <v>19.421199000000001</v>
      </c>
      <c r="J16" s="6">
        <v>115.176087</v>
      </c>
      <c r="K16" s="7">
        <v>1339</v>
      </c>
      <c r="L16" s="7">
        <v>685</v>
      </c>
      <c r="M16" s="6">
        <v>14200.726489000001</v>
      </c>
      <c r="N16" s="6">
        <v>4.9772249999999998</v>
      </c>
      <c r="Q16" s="4"/>
      <c r="R16" s="4"/>
      <c r="S16" s="5"/>
      <c r="T16" s="4"/>
      <c r="U16" s="4"/>
      <c r="V16" s="4"/>
      <c r="W16" s="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">
        <v>0</v>
      </c>
      <c r="B17" s="1">
        <v>12</v>
      </c>
      <c r="C17" s="3">
        <v>-0.39019700000000002</v>
      </c>
      <c r="D17" s="3">
        <v>7.3511000000000007E-2</v>
      </c>
      <c r="E17" s="6">
        <v>85.090459999999993</v>
      </c>
      <c r="F17" s="3">
        <v>0.95614900000000003</v>
      </c>
      <c r="G17" s="3">
        <v>70.037111999999993</v>
      </c>
      <c r="H17" s="3">
        <v>3.8331400000000002</v>
      </c>
      <c r="I17" s="3">
        <v>0.58665</v>
      </c>
      <c r="J17" s="3">
        <v>19.421199000000001</v>
      </c>
      <c r="K17" s="1">
        <v>1863</v>
      </c>
      <c r="L17" s="1">
        <v>1339</v>
      </c>
      <c r="M17" s="3">
        <v>19991.331729000001</v>
      </c>
      <c r="N17" s="3">
        <v>11.50567</v>
      </c>
      <c r="P17">
        <v>19</v>
      </c>
      <c r="Q17" s="8">
        <v>297</v>
      </c>
      <c r="R17" s="4">
        <v>63</v>
      </c>
      <c r="S17" s="1">
        <f>K29-L28</f>
        <v>860</v>
      </c>
      <c r="T17" s="4">
        <f>M29/1000</f>
        <v>13.080938866</v>
      </c>
      <c r="U17" s="4">
        <f>J28</f>
        <v>122.81957</v>
      </c>
      <c r="V17" s="4">
        <f>I29</f>
        <v>93.935315000000003</v>
      </c>
      <c r="W17" s="4">
        <f>N29</f>
        <v>3.1459820000000001</v>
      </c>
      <c r="X17">
        <f>1039-348</f>
        <v>691</v>
      </c>
      <c r="Y17" s="3">
        <f t="shared" si="0"/>
        <v>0.21212121212121213</v>
      </c>
      <c r="Z17" s="3">
        <f t="shared" si="1"/>
        <v>1.084733474016617E-3</v>
      </c>
      <c r="AA17" s="3">
        <f t="shared" si="2"/>
        <v>8.7725873982684305E-3</v>
      </c>
      <c r="AB17" s="3">
        <f t="shared" ref="AB17:AB22" si="4">Q17^(0.5-1)*(1-Y17^0.5)/(1-Y17)</f>
        <v>3.9728350454787675E-2</v>
      </c>
      <c r="AC17" s="3">
        <f t="shared" ref="AC17:AC22" si="5">Q17^(0.7-1)*(1-Y17^0.7)/(1-Y17)</f>
        <v>0.15231011026900676</v>
      </c>
      <c r="AD17" s="3">
        <f t="shared" si="3"/>
        <v>0.54032630741778187</v>
      </c>
      <c r="AE17" s="3"/>
      <c r="AF17" s="3">
        <f t="shared" ref="AF17:AF22" si="6">Q17^(1.5-1)*(1-Y17^1.5)/(1-Y17)</f>
        <v>19.73657401826571</v>
      </c>
      <c r="AG17" s="3">
        <f t="shared" ref="AG17:AG22" si="7">Q17^(2-1)*(1-Y17^2)/(1-Y17)</f>
        <v>360</v>
      </c>
      <c r="AH17" s="3"/>
      <c r="AI17" s="3"/>
      <c r="AJ17" s="3"/>
    </row>
    <row r="18" spans="1:36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1"/>
      <c r="L18" s="1"/>
      <c r="M18" s="3"/>
      <c r="N18" s="3"/>
      <c r="P18">
        <v>20</v>
      </c>
      <c r="Q18" s="4">
        <f>E31</f>
        <v>148.71703199999999</v>
      </c>
      <c r="R18" s="4">
        <f>E32</f>
        <v>117.090322</v>
      </c>
      <c r="S18" s="1">
        <f>K31-L31</f>
        <v>941</v>
      </c>
      <c r="T18" s="4">
        <f>M31/1000</f>
        <v>10.81702183</v>
      </c>
      <c r="U18" s="4">
        <f>J31</f>
        <v>29.975573000000001</v>
      </c>
      <c r="V18" s="4">
        <f>I31</f>
        <v>3.160031</v>
      </c>
      <c r="W18" s="4">
        <f>N31</f>
        <v>5.9526529999999998</v>
      </c>
      <c r="X18">
        <f>594-431</f>
        <v>163</v>
      </c>
      <c r="Y18" s="3">
        <f t="shared" si="0"/>
        <v>0.78733632876697013</v>
      </c>
      <c r="Z18" s="3">
        <f t="shared" si="1"/>
        <v>1.2319116601265765E-3</v>
      </c>
      <c r="AA18" s="3">
        <f t="shared" si="2"/>
        <v>9.8145806424712774E-3</v>
      </c>
      <c r="AB18" s="3">
        <f t="shared" si="4"/>
        <v>4.3448437402388608E-2</v>
      </c>
      <c r="AC18" s="3">
        <f t="shared" si="5"/>
        <v>0.16159896004844826</v>
      </c>
      <c r="AD18" s="3">
        <f t="shared" si="3"/>
        <v>0.55208002978900494</v>
      </c>
      <c r="AE18" s="3"/>
      <c r="AF18" s="3">
        <f t="shared" si="6"/>
        <v>17.282350812367429</v>
      </c>
      <c r="AG18" s="3">
        <f t="shared" si="7"/>
        <v>265.80735400000003</v>
      </c>
      <c r="AH18" s="3"/>
      <c r="AI18" s="3"/>
      <c r="AJ18" s="3"/>
    </row>
    <row r="19" spans="1:36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1"/>
      <c r="L19" s="1"/>
      <c r="M19" s="3"/>
      <c r="N19" s="3"/>
      <c r="P19">
        <v>21</v>
      </c>
      <c r="Q19" s="8">
        <f>E33</f>
        <v>393.13236599999999</v>
      </c>
      <c r="R19" s="4">
        <f>E34</f>
        <v>78.848259999999996</v>
      </c>
      <c r="S19" s="1">
        <f>K33-L33</f>
        <v>662</v>
      </c>
      <c r="T19" s="4">
        <f>M33/1000</f>
        <v>4.6315314040000004</v>
      </c>
      <c r="U19" s="4">
        <f>J33</f>
        <v>38.873272999999998</v>
      </c>
      <c r="V19" s="4">
        <f>I33</f>
        <v>33.153703</v>
      </c>
      <c r="W19" s="4">
        <f>N33</f>
        <v>1.8301559999999999</v>
      </c>
      <c r="X19">
        <f>872-411</f>
        <v>461</v>
      </c>
      <c r="Y19" s="3">
        <f t="shared" si="0"/>
        <v>0.20056415299064945</v>
      </c>
      <c r="Z19" s="3">
        <f t="shared" si="1"/>
        <v>8.5827129465907315E-4</v>
      </c>
      <c r="AA19" s="3">
        <f t="shared" si="2"/>
        <v>7.3047884140188882E-3</v>
      </c>
      <c r="AB19" s="3">
        <f t="shared" si="4"/>
        <v>3.4834442244160907E-2</v>
      </c>
      <c r="AC19" s="3">
        <f t="shared" si="5"/>
        <v>0.14070378841341571</v>
      </c>
      <c r="AD19" s="3">
        <f t="shared" si="3"/>
        <v>0.52617301495347157</v>
      </c>
      <c r="AE19" s="3"/>
      <c r="AF19" s="3">
        <f t="shared" si="6"/>
        <v>22.574200970286455</v>
      </c>
      <c r="AG19" s="3">
        <f t="shared" si="7"/>
        <v>471.98062599999997</v>
      </c>
      <c r="AH19" s="3"/>
      <c r="AI19" s="3"/>
      <c r="AJ19" s="3"/>
    </row>
    <row r="20" spans="1:36" x14ac:dyDescent="0.25">
      <c r="A20" s="1">
        <v>0</v>
      </c>
      <c r="B20" s="1">
        <v>15</v>
      </c>
      <c r="C20" s="3">
        <v>-0.46448099999999998</v>
      </c>
      <c r="D20" s="3">
        <v>0.48137200000000002</v>
      </c>
      <c r="E20" s="6">
        <v>178.531893</v>
      </c>
      <c r="F20" s="3">
        <v>1.1620969999999999</v>
      </c>
      <c r="G20" s="3">
        <v>167.557344</v>
      </c>
      <c r="H20" s="3">
        <v>5.0075120000000002</v>
      </c>
      <c r="I20" s="6">
        <v>53.669414000000003</v>
      </c>
      <c r="J20" s="6">
        <v>77.547448000000003</v>
      </c>
      <c r="K20" s="7">
        <v>1055</v>
      </c>
      <c r="L20" s="7">
        <v>476</v>
      </c>
      <c r="M20" s="6">
        <v>10545.999159999999</v>
      </c>
      <c r="N20" s="6">
        <v>3.1546439999999998</v>
      </c>
      <c r="P20">
        <v>22</v>
      </c>
      <c r="Q20" s="9">
        <f>E36</f>
        <v>314.63161200000002</v>
      </c>
      <c r="R20" s="3">
        <f>E37</f>
        <v>126.44382400000001</v>
      </c>
      <c r="S20" s="1">
        <f>K36-L36</f>
        <v>598</v>
      </c>
      <c r="T20" s="4">
        <f>M36/1000</f>
        <v>4.6438001880000002</v>
      </c>
      <c r="U20" s="3">
        <f>J36</f>
        <v>37.528556999999999</v>
      </c>
      <c r="V20" s="3">
        <f>I36</f>
        <v>28.845925999999999</v>
      </c>
      <c r="W20" s="3">
        <f>N36</f>
        <v>1.906304</v>
      </c>
      <c r="X20">
        <f>735-450</f>
        <v>285</v>
      </c>
      <c r="Y20" s="3">
        <f t="shared" si="0"/>
        <v>0.40187895677818919</v>
      </c>
      <c r="Z20" s="3">
        <f t="shared" si="1"/>
        <v>8.2290615892722087E-4</v>
      </c>
      <c r="AA20" s="3">
        <f t="shared" si="2"/>
        <v>7.1391048652362813E-3</v>
      </c>
      <c r="AB20" s="3">
        <f t="shared" si="4"/>
        <v>3.4503481612655436E-2</v>
      </c>
      <c r="AC20" s="3">
        <f t="shared" si="5"/>
        <v>0.14045968241234402</v>
      </c>
      <c r="AD20" s="3">
        <f t="shared" si="3"/>
        <v>0.52654500900265888</v>
      </c>
      <c r="AE20" s="3"/>
      <c r="AF20" s="3">
        <f t="shared" si="6"/>
        <v>22.100610313478406</v>
      </c>
      <c r="AG20" s="3">
        <f t="shared" si="7"/>
        <v>441.07543600000002</v>
      </c>
      <c r="AH20" s="3"/>
      <c r="AI20" s="3"/>
      <c r="AJ20" s="3"/>
    </row>
    <row r="21" spans="1:36" x14ac:dyDescent="0.25">
      <c r="A21" s="1">
        <v>0</v>
      </c>
      <c r="B21" s="1">
        <v>15</v>
      </c>
      <c r="C21" s="3">
        <v>-0.49384899999999998</v>
      </c>
      <c r="D21" s="3">
        <v>8.8467000000000004E-2</v>
      </c>
      <c r="E21" s="6">
        <v>102.94216900000001</v>
      </c>
      <c r="F21" s="3">
        <v>0.56467100000000003</v>
      </c>
      <c r="G21" s="3">
        <v>101.466961</v>
      </c>
      <c r="H21" s="3">
        <v>2.2501799999999998</v>
      </c>
      <c r="I21" s="3">
        <v>9.1329989999999999</v>
      </c>
      <c r="J21" s="3">
        <v>53.669414000000003</v>
      </c>
      <c r="K21" s="1">
        <v>1466</v>
      </c>
      <c r="L21" s="1">
        <v>1055</v>
      </c>
      <c r="M21" s="3">
        <v>19013.67928</v>
      </c>
      <c r="N21" s="3">
        <v>6.9742110000000004</v>
      </c>
      <c r="P21">
        <v>23</v>
      </c>
      <c r="Q21" s="3">
        <f>E38</f>
        <v>144.52812900000001</v>
      </c>
      <c r="R21" s="3">
        <f>E39</f>
        <v>96.578396999999995</v>
      </c>
      <c r="S21" s="1">
        <f>K38-L38</f>
        <v>576</v>
      </c>
      <c r="T21" s="4">
        <f>M38/1000</f>
        <v>5.8907785610000003</v>
      </c>
      <c r="U21" s="3">
        <f>J38</f>
        <v>15.717105999999999</v>
      </c>
      <c r="V21" s="3">
        <f>I38</f>
        <v>5.3565069999999997</v>
      </c>
      <c r="W21" s="3">
        <f>N38</f>
        <v>3.9051490000000002</v>
      </c>
      <c r="X21">
        <f>675-490</f>
        <v>185</v>
      </c>
      <c r="Y21" s="3">
        <f t="shared" si="0"/>
        <v>0.6682325279392497</v>
      </c>
      <c r="Z21" s="3">
        <f t="shared" si="1"/>
        <v>1.3549341349124925E-3</v>
      </c>
      <c r="AA21" s="3">
        <f t="shared" si="2"/>
        <v>1.0562285305878896E-2</v>
      </c>
      <c r="AB21" s="3">
        <f t="shared" si="4"/>
        <v>4.576781348991079E-2</v>
      </c>
      <c r="AC21" s="3">
        <f t="shared" si="5"/>
        <v>0.16667730967997282</v>
      </c>
      <c r="AD21" s="3">
        <f t="shared" si="3"/>
        <v>0.55775508265847284</v>
      </c>
      <c r="AE21" s="3"/>
      <c r="AF21" s="3">
        <f t="shared" si="6"/>
        <v>16.442167296443259</v>
      </c>
      <c r="AG21" s="3">
        <f t="shared" si="7"/>
        <v>241.106526</v>
      </c>
      <c r="AH21" s="3"/>
      <c r="AI21" s="3"/>
      <c r="AJ21" s="3"/>
    </row>
    <row r="22" spans="1:36" x14ac:dyDescent="0.25">
      <c r="A22" s="1">
        <v>0</v>
      </c>
      <c r="B22" s="1">
        <v>15</v>
      </c>
      <c r="C22" s="3">
        <v>-0.37099199999999999</v>
      </c>
      <c r="D22" s="3">
        <v>6.2480000000000001E-2</v>
      </c>
      <c r="E22" s="3">
        <v>74.363919999999993</v>
      </c>
      <c r="F22" s="3">
        <v>0.48547299999999999</v>
      </c>
      <c r="G22" s="3">
        <v>73.458701000000005</v>
      </c>
      <c r="H22" s="3">
        <v>0.99845099999999998</v>
      </c>
      <c r="I22" s="3">
        <v>0.38968000000000003</v>
      </c>
      <c r="J22" s="3">
        <v>9.1329989999999999</v>
      </c>
      <c r="K22" s="1">
        <v>1799</v>
      </c>
      <c r="L22" s="1">
        <v>1466</v>
      </c>
      <c r="M22" s="3">
        <v>22906.995310999999</v>
      </c>
      <c r="N22" s="3">
        <v>11.712540000000001</v>
      </c>
      <c r="P22">
        <v>24</v>
      </c>
      <c r="Q22" s="3">
        <f>E40</f>
        <v>133.25202999999999</v>
      </c>
      <c r="R22" s="3">
        <f>E41</f>
        <v>107.03658799999999</v>
      </c>
      <c r="S22" s="1">
        <f>K40-L40</f>
        <v>324</v>
      </c>
      <c r="T22" s="4">
        <f>M40/1000</f>
        <v>5.09957248</v>
      </c>
      <c r="U22" s="3">
        <f>J40</f>
        <v>28.26247</v>
      </c>
      <c r="V22" s="3">
        <f>I40</f>
        <v>20.193106</v>
      </c>
      <c r="W22" s="3">
        <f>N40</f>
        <v>2.374952</v>
      </c>
      <c r="X22">
        <f>836-753</f>
        <v>83</v>
      </c>
      <c r="Y22" s="3">
        <f t="shared" si="0"/>
        <v>0.80326422044001888</v>
      </c>
      <c r="Z22" s="3">
        <f t="shared" si="1"/>
        <v>1.3481798756959018E-3</v>
      </c>
      <c r="AA22" s="3">
        <f t="shared" si="2"/>
        <v>1.0528322440500811E-2</v>
      </c>
      <c r="AB22" s="3">
        <f t="shared" si="4"/>
        <v>4.5684351992976262E-2</v>
      </c>
      <c r="AC22" s="3">
        <f t="shared" si="5"/>
        <v>0.16654227016386999</v>
      </c>
      <c r="AD22" s="3">
        <f t="shared" si="3"/>
        <v>0.55765720615374448</v>
      </c>
      <c r="AE22" s="3"/>
      <c r="AF22" s="3">
        <f t="shared" si="6"/>
        <v>16.433381471660102</v>
      </c>
      <c r="AG22" s="3">
        <f t="shared" si="7"/>
        <v>240.28861800000004</v>
      </c>
      <c r="AH22" s="3"/>
      <c r="AI22" s="3"/>
      <c r="AJ22" s="3"/>
    </row>
    <row r="23" spans="1:36" x14ac:dyDescent="0.25">
      <c r="A23" s="1">
        <v>0</v>
      </c>
      <c r="B23" s="1">
        <v>16</v>
      </c>
      <c r="C23" s="3">
        <v>-0.24456</v>
      </c>
      <c r="D23" s="3">
        <v>0.15523600000000001</v>
      </c>
      <c r="E23" s="6">
        <v>179.73496800000001</v>
      </c>
      <c r="F23" s="3">
        <v>0.98733099999999996</v>
      </c>
      <c r="G23" s="3">
        <v>168.456343</v>
      </c>
      <c r="H23" s="3">
        <v>3.973465</v>
      </c>
      <c r="I23" s="6">
        <v>16.273944</v>
      </c>
      <c r="J23" s="6">
        <v>60.065069000000001</v>
      </c>
      <c r="K23" s="7">
        <v>1447</v>
      </c>
      <c r="L23" s="7">
        <v>430</v>
      </c>
      <c r="M23" s="6">
        <v>14222.131601999999</v>
      </c>
      <c r="N23" s="6">
        <v>5.4581480000000004</v>
      </c>
      <c r="Q23" s="10">
        <f>CORREL(S2:S22,Q2:Q22)</f>
        <v>3.5334060810072676E-2</v>
      </c>
      <c r="S23" s="4">
        <f>AVERAGE(S2:S22)</f>
        <v>633.06666666666672</v>
      </c>
      <c r="T23" s="4"/>
      <c r="U23" s="4"/>
      <c r="V23" s="4"/>
      <c r="W23" s="4">
        <f>AVERAGE(W2:W22)</f>
        <v>3.7536080666666667</v>
      </c>
      <c r="X23" s="10">
        <f>CORREL(Q2:Q22,X2:X22)</f>
        <v>0.51364412512462254</v>
      </c>
      <c r="Y23" s="10">
        <f>CORREL(S2:S22,Y2:Y22)</f>
        <v>0.12508562953089275</v>
      </c>
      <c r="Z23" s="10">
        <f>CORREL(W2:W22,Z2:Z22)</f>
        <v>0.5340525428402223</v>
      </c>
      <c r="AA23" s="10">
        <f>CORREL(W2:W22,AA2:AA22)</f>
        <v>0.53977210129839792</v>
      </c>
      <c r="AB23" s="10">
        <f>CORREL(W2:W22,AB2:AB22)</f>
        <v>0.54471573122858075</v>
      </c>
      <c r="AC23" s="10">
        <f>CORREL(W2:W22,AC2:AC22)</f>
        <v>0.54876234995012085</v>
      </c>
      <c r="AD23" s="10">
        <f>CORREL(W2:W22,AD2:AD22)</f>
        <v>0.55181484508466738</v>
      </c>
      <c r="AE23" s="3"/>
      <c r="AF23" s="10">
        <f>CORREL(W2:W22,AF2:AF22)</f>
        <v>-0.55448991308775475</v>
      </c>
      <c r="AG23" s="10">
        <f>CORREL(W2:W22,AG2:AG22)</f>
        <v>-0.54940390776328585</v>
      </c>
    </row>
    <row r="24" spans="1:36" x14ac:dyDescent="0.25">
      <c r="A24" s="1">
        <v>0</v>
      </c>
      <c r="B24" s="1">
        <v>16</v>
      </c>
      <c r="C24" s="3">
        <v>-0.29419800000000002</v>
      </c>
      <c r="D24" s="3">
        <v>7.3439000000000004E-2</v>
      </c>
      <c r="E24" s="6">
        <v>113.466448</v>
      </c>
      <c r="F24" s="3">
        <v>0.59498799999999996</v>
      </c>
      <c r="G24" s="3">
        <v>108.543746</v>
      </c>
      <c r="H24" s="3">
        <v>2.007552</v>
      </c>
      <c r="I24" s="3">
        <v>1.041277</v>
      </c>
      <c r="J24" s="3">
        <v>16.273944</v>
      </c>
      <c r="K24" s="1">
        <v>2060</v>
      </c>
      <c r="L24" s="1">
        <v>1447</v>
      </c>
      <c r="M24" s="3">
        <v>20148.868143</v>
      </c>
      <c r="N24" s="3">
        <v>10.943675000000001</v>
      </c>
      <c r="Q24" s="10">
        <f>CORREL(W2:W22,Q2:Q22)</f>
        <v>-0.5671324075441988</v>
      </c>
      <c r="S24" s="3">
        <f>STDEVA(S2:S22)</f>
        <v>238.52806563429411</v>
      </c>
      <c r="T24" s="3"/>
      <c r="U24" s="3"/>
      <c r="V24" s="3"/>
      <c r="W24" s="3">
        <f>STDEVA(W2:W22)</f>
        <v>1.9950408719910426</v>
      </c>
      <c r="X24">
        <f>CORREL(X2:X22,Y2:Y22)</f>
        <v>-0.70690325696380396</v>
      </c>
    </row>
    <row r="25" spans="1:36" x14ac:dyDescent="0.25">
      <c r="A25" s="1">
        <v>0</v>
      </c>
      <c r="B25" s="1">
        <v>17</v>
      </c>
      <c r="C25" s="3">
        <v>-2.1109680000000002</v>
      </c>
      <c r="D25" s="3">
        <v>0.44105699999999998</v>
      </c>
      <c r="E25" s="3">
        <v>187.10244299999999</v>
      </c>
      <c r="F25" s="3">
        <v>1.7286710000000001</v>
      </c>
      <c r="G25" s="3">
        <v>188.94818100000001</v>
      </c>
      <c r="H25" s="3">
        <v>8.0341799999999992</v>
      </c>
      <c r="I25" s="6">
        <v>10.759861000000001</v>
      </c>
      <c r="J25" s="6">
        <v>16.188768</v>
      </c>
      <c r="K25" s="7">
        <v>968</v>
      </c>
      <c r="L25" s="7">
        <v>458</v>
      </c>
      <c r="M25" s="6">
        <v>4446.9775609999997</v>
      </c>
      <c r="N25" s="6">
        <v>2.711325</v>
      </c>
      <c r="W25">
        <f>CORREL(Y2:Y22,W2:W22)</f>
        <v>0.41825323994666619</v>
      </c>
      <c r="X25">
        <f>CORREL(X2:X22,R2:R22)</f>
        <v>-0.46862831477027284</v>
      </c>
    </row>
    <row r="26" spans="1:36" x14ac:dyDescent="0.25">
      <c r="A26" s="1">
        <v>0</v>
      </c>
      <c r="B26" s="1">
        <v>17</v>
      </c>
      <c r="C26" s="3">
        <v>-0.59193399999999996</v>
      </c>
      <c r="D26" s="3">
        <v>0.34674899999999997</v>
      </c>
      <c r="E26" s="3">
        <v>127.062116</v>
      </c>
      <c r="F26" s="3">
        <v>1.6199030000000001</v>
      </c>
      <c r="G26" s="3">
        <v>127.053225</v>
      </c>
      <c r="H26" s="3">
        <v>2.8647420000000001</v>
      </c>
      <c r="I26" s="3">
        <v>3.5954929999999998</v>
      </c>
      <c r="J26" s="3">
        <v>10.759861000000001</v>
      </c>
      <c r="K26" s="1">
        <v>1396</v>
      </c>
      <c r="L26" s="1">
        <v>968</v>
      </c>
      <c r="M26" s="3">
        <v>8594.6750909999992</v>
      </c>
      <c r="N26" s="3">
        <v>6.1522829999999997</v>
      </c>
    </row>
    <row r="27" spans="1:36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1"/>
      <c r="L27" s="1"/>
      <c r="M27" s="3"/>
      <c r="N27" s="3"/>
    </row>
    <row r="28" spans="1:36" x14ac:dyDescent="0.25">
      <c r="A28" s="1">
        <v>0</v>
      </c>
      <c r="B28" s="1">
        <v>19</v>
      </c>
      <c r="C28" s="3">
        <v>-36</v>
      </c>
      <c r="D28" s="3">
        <v>6.2662979999999999</v>
      </c>
      <c r="E28" s="3">
        <v>311.191959</v>
      </c>
      <c r="F28" s="3">
        <v>10.889486</v>
      </c>
      <c r="G28" s="3">
        <v>89.632068000000004</v>
      </c>
      <c r="H28" s="3">
        <v>47.460194999999999</v>
      </c>
      <c r="I28" s="3">
        <v>117.228829</v>
      </c>
      <c r="J28" s="6">
        <v>122.81957</v>
      </c>
      <c r="K28" s="1">
        <v>746</v>
      </c>
      <c r="L28" s="7">
        <v>376</v>
      </c>
      <c r="M28" s="3">
        <v>4805.9047659999997</v>
      </c>
      <c r="N28" s="3">
        <v>1.110873</v>
      </c>
    </row>
    <row r="29" spans="1:36" x14ac:dyDescent="0.25">
      <c r="A29" s="1">
        <v>0</v>
      </c>
      <c r="B29" s="1">
        <v>19</v>
      </c>
      <c r="C29" s="3">
        <v>2.7264059999999999</v>
      </c>
      <c r="D29" s="3">
        <v>1.931154</v>
      </c>
      <c r="E29" s="6">
        <v>248.431026</v>
      </c>
      <c r="F29" s="3">
        <v>3.519914</v>
      </c>
      <c r="G29" s="3">
        <v>225.931983</v>
      </c>
      <c r="H29" s="3">
        <v>9.1834699999999998</v>
      </c>
      <c r="I29" s="6">
        <v>93.935315000000003</v>
      </c>
      <c r="J29" s="3">
        <v>117.228829</v>
      </c>
      <c r="K29" s="7">
        <v>1236</v>
      </c>
      <c r="L29" s="1">
        <v>746</v>
      </c>
      <c r="M29" s="6">
        <v>13080.938866</v>
      </c>
      <c r="N29" s="6">
        <v>3.1459820000000001</v>
      </c>
    </row>
    <row r="30" spans="1:36" x14ac:dyDescent="0.25">
      <c r="A30" s="1">
        <v>0</v>
      </c>
      <c r="B30" s="1">
        <v>19</v>
      </c>
      <c r="C30" s="3">
        <v>-0.39589400000000002</v>
      </c>
      <c r="D30" s="3">
        <v>1.4305999999999999E-2</v>
      </c>
      <c r="E30" s="6">
        <v>62.297457999999999</v>
      </c>
      <c r="F30" s="3">
        <v>0.165548</v>
      </c>
      <c r="G30" s="3">
        <v>59.777073000000001</v>
      </c>
      <c r="H30" s="3">
        <v>0.75258000000000003</v>
      </c>
      <c r="I30" s="3">
        <v>0.25765700000000002</v>
      </c>
      <c r="J30" s="3">
        <v>93.935315000000003</v>
      </c>
      <c r="K30" s="1">
        <v>1951</v>
      </c>
      <c r="L30" s="1">
        <v>1236</v>
      </c>
      <c r="M30" s="3">
        <v>28140.415009</v>
      </c>
      <c r="N30" s="3">
        <v>14.869865000000001</v>
      </c>
    </row>
    <row r="31" spans="1:36" x14ac:dyDescent="0.25">
      <c r="A31" s="1">
        <v>0</v>
      </c>
      <c r="B31" s="1">
        <v>20</v>
      </c>
      <c r="C31" s="3">
        <v>-0.47831800000000002</v>
      </c>
      <c r="D31" s="3">
        <v>0.12800400000000001</v>
      </c>
      <c r="E31" s="3">
        <v>148.71703199999999</v>
      </c>
      <c r="F31" s="3">
        <v>1.186763</v>
      </c>
      <c r="G31" s="3">
        <v>142.95269099999999</v>
      </c>
      <c r="H31" s="3">
        <v>5.0730420000000001</v>
      </c>
      <c r="I31" s="6">
        <v>3.160031</v>
      </c>
      <c r="J31" s="6">
        <v>29.975573000000001</v>
      </c>
      <c r="K31" s="7">
        <v>1367</v>
      </c>
      <c r="L31" s="7">
        <v>426</v>
      </c>
      <c r="M31" s="6">
        <v>10817.02183</v>
      </c>
      <c r="N31" s="6">
        <v>5.9526529999999998</v>
      </c>
    </row>
    <row r="32" spans="1:36" x14ac:dyDescent="0.25">
      <c r="A32" s="1">
        <v>0</v>
      </c>
      <c r="B32" s="1">
        <v>20</v>
      </c>
      <c r="C32" s="3">
        <v>-1.093675</v>
      </c>
      <c r="D32" s="3">
        <v>0.32153700000000002</v>
      </c>
      <c r="E32" s="3">
        <v>117.090322</v>
      </c>
      <c r="F32" s="3">
        <v>2.5363950000000002</v>
      </c>
      <c r="G32" s="3">
        <v>120.605715</v>
      </c>
      <c r="H32" s="3">
        <v>5.6725649999999996</v>
      </c>
      <c r="I32" s="3">
        <v>1.0199830000000001</v>
      </c>
      <c r="J32" s="3">
        <v>3.160031</v>
      </c>
      <c r="K32" s="1">
        <v>1708</v>
      </c>
      <c r="L32" s="1">
        <v>1367</v>
      </c>
      <c r="M32" s="3">
        <v>13149.722371</v>
      </c>
      <c r="N32" s="3">
        <v>9.2360880000000005</v>
      </c>
    </row>
    <row r="33" spans="1:14" x14ac:dyDescent="0.25">
      <c r="A33" s="1">
        <v>0</v>
      </c>
      <c r="B33" s="1">
        <v>21</v>
      </c>
      <c r="C33" s="3">
        <v>3.2299159999999998</v>
      </c>
      <c r="D33" s="3">
        <v>1.867928</v>
      </c>
      <c r="E33" s="6">
        <v>393.13236599999999</v>
      </c>
      <c r="F33" s="3">
        <v>4.6964649999999999</v>
      </c>
      <c r="G33" s="3">
        <v>335.18426699999998</v>
      </c>
      <c r="H33" s="3">
        <v>18.778893</v>
      </c>
      <c r="I33" s="6">
        <v>33.153703</v>
      </c>
      <c r="J33" s="6">
        <v>38.873272999999998</v>
      </c>
      <c r="K33" s="7">
        <v>1082</v>
      </c>
      <c r="L33" s="7">
        <v>420</v>
      </c>
      <c r="M33" s="6">
        <v>4631.5314040000003</v>
      </c>
      <c r="N33" s="6">
        <v>1.8301559999999999</v>
      </c>
    </row>
    <row r="34" spans="1:14" x14ac:dyDescent="0.25">
      <c r="A34" s="1">
        <v>0</v>
      </c>
      <c r="B34" s="1">
        <v>21</v>
      </c>
      <c r="C34" s="3">
        <v>-1.5131680000000001</v>
      </c>
      <c r="D34" s="3">
        <v>0.14490800000000001</v>
      </c>
      <c r="E34" s="6">
        <v>78.848259999999996</v>
      </c>
      <c r="F34" s="3">
        <v>3.364522</v>
      </c>
      <c r="G34" s="3">
        <v>20.498360000000002</v>
      </c>
      <c r="H34" s="3">
        <v>8.1890470000000004</v>
      </c>
      <c r="I34" s="3">
        <v>3.937262</v>
      </c>
      <c r="J34" s="3">
        <v>33.153703</v>
      </c>
      <c r="K34" s="1">
        <v>1400</v>
      </c>
      <c r="L34" s="1">
        <v>1082</v>
      </c>
      <c r="M34" s="3">
        <v>12089.581924</v>
      </c>
      <c r="N34" s="3">
        <v>5.8073389999999998</v>
      </c>
    </row>
    <row r="35" spans="1:14" x14ac:dyDescent="0.25">
      <c r="A35" s="1">
        <v>0</v>
      </c>
      <c r="B35" s="1">
        <v>21</v>
      </c>
      <c r="C35" s="3">
        <v>-0.35049599999999997</v>
      </c>
      <c r="D35" s="3">
        <v>5.858E-2</v>
      </c>
      <c r="E35" s="3">
        <v>91.651951999999994</v>
      </c>
      <c r="F35" s="3">
        <v>0.73099499999999995</v>
      </c>
      <c r="G35" s="3">
        <v>87.566659000000001</v>
      </c>
      <c r="H35" s="3">
        <v>2.165124</v>
      </c>
      <c r="I35" s="3">
        <v>0.13415199999999999</v>
      </c>
      <c r="J35" s="3">
        <v>3.937262</v>
      </c>
      <c r="K35" s="1">
        <v>1891</v>
      </c>
      <c r="L35" s="1">
        <v>1400</v>
      </c>
      <c r="M35" s="3">
        <v>15151.361508</v>
      </c>
      <c r="N35" s="3">
        <v>11.253446</v>
      </c>
    </row>
    <row r="36" spans="1:14" x14ac:dyDescent="0.25">
      <c r="A36" s="1">
        <v>0</v>
      </c>
      <c r="B36" s="1">
        <v>22</v>
      </c>
      <c r="C36" s="3">
        <v>2.7966489999999999</v>
      </c>
      <c r="D36" s="3">
        <v>1.8870960000000001</v>
      </c>
      <c r="E36" s="6">
        <v>314.63161200000002</v>
      </c>
      <c r="F36" s="3">
        <v>6.0453929999999998</v>
      </c>
      <c r="G36" s="3">
        <v>273.79521999999997</v>
      </c>
      <c r="H36" s="3">
        <v>16.158100999999998</v>
      </c>
      <c r="I36" s="6">
        <v>28.845925999999999</v>
      </c>
      <c r="J36" s="6">
        <v>37.528556999999999</v>
      </c>
      <c r="K36" s="7">
        <v>1030</v>
      </c>
      <c r="L36" s="7">
        <v>432</v>
      </c>
      <c r="M36" s="6">
        <v>4643.8001880000002</v>
      </c>
      <c r="N36" s="6">
        <v>1.906304</v>
      </c>
    </row>
    <row r="37" spans="1:14" x14ac:dyDescent="0.25">
      <c r="A37" s="1">
        <v>0</v>
      </c>
      <c r="B37" s="1">
        <v>22</v>
      </c>
      <c r="C37" s="3">
        <v>-0.27670400000000001</v>
      </c>
      <c r="D37" s="3">
        <v>0.147033</v>
      </c>
      <c r="E37" s="6">
        <v>126.44382400000001</v>
      </c>
      <c r="F37" s="3">
        <v>1.655864</v>
      </c>
      <c r="G37" s="3">
        <v>115.47184300000001</v>
      </c>
      <c r="H37" s="3">
        <v>4.8862569999999996</v>
      </c>
      <c r="I37" s="3">
        <v>1.980343</v>
      </c>
      <c r="J37" s="3">
        <v>28.845925999999999</v>
      </c>
      <c r="K37" s="1">
        <v>1792</v>
      </c>
      <c r="L37" s="1">
        <v>1030</v>
      </c>
      <c r="M37" s="3">
        <v>13871.949167999999</v>
      </c>
      <c r="N37" s="3">
        <v>8.5553019999999993</v>
      </c>
    </row>
    <row r="38" spans="1:14" x14ac:dyDescent="0.25">
      <c r="A38" s="1">
        <v>0</v>
      </c>
      <c r="B38" s="1">
        <v>23</v>
      </c>
      <c r="C38" s="3">
        <v>-0.14773</v>
      </c>
      <c r="D38" s="3">
        <v>0.28140900000000002</v>
      </c>
      <c r="E38" s="6">
        <v>144.52812900000001</v>
      </c>
      <c r="F38" s="3">
        <v>1.0588649999999999</v>
      </c>
      <c r="G38" s="3">
        <v>141.70385899999999</v>
      </c>
      <c r="H38" s="3">
        <v>2.6243590000000001</v>
      </c>
      <c r="I38" s="6">
        <v>5.3565069999999997</v>
      </c>
      <c r="J38" s="6">
        <v>15.717105999999999</v>
      </c>
      <c r="K38" s="7">
        <v>1056</v>
      </c>
      <c r="L38" s="7">
        <v>480</v>
      </c>
      <c r="M38" s="6">
        <v>5890.7785610000001</v>
      </c>
      <c r="N38" s="6">
        <v>3.9051490000000002</v>
      </c>
    </row>
    <row r="39" spans="1:14" x14ac:dyDescent="0.25">
      <c r="A39" s="1">
        <v>0</v>
      </c>
      <c r="B39" s="1">
        <v>23</v>
      </c>
      <c r="C39" s="3">
        <v>-0.47297299999999998</v>
      </c>
      <c r="D39" s="3">
        <v>0.15414900000000001</v>
      </c>
      <c r="E39" s="6">
        <v>96.578396999999995</v>
      </c>
      <c r="F39" s="3">
        <v>0.59396899999999997</v>
      </c>
      <c r="G39" s="3">
        <v>96.638953999999998</v>
      </c>
      <c r="H39" s="3">
        <v>1.5087740000000001</v>
      </c>
      <c r="I39" s="3">
        <v>1.5895980000000001</v>
      </c>
      <c r="J39" s="3">
        <v>5.3565069999999997</v>
      </c>
      <c r="K39" s="1">
        <v>1481</v>
      </c>
      <c r="L39" s="1">
        <v>1056</v>
      </c>
      <c r="M39" s="3">
        <v>9425.1673859999992</v>
      </c>
      <c r="N39" s="3">
        <v>8.2590269999999997</v>
      </c>
    </row>
    <row r="40" spans="1:14" x14ac:dyDescent="0.25">
      <c r="A40" s="1">
        <v>0</v>
      </c>
      <c r="B40" s="1">
        <v>24</v>
      </c>
      <c r="C40" s="3">
        <v>-0.83138000000000001</v>
      </c>
      <c r="D40" s="3">
        <v>0.48441200000000001</v>
      </c>
      <c r="E40" s="3">
        <v>133.25202999999999</v>
      </c>
      <c r="F40" s="3">
        <v>0.54086100000000004</v>
      </c>
      <c r="G40" s="3">
        <v>133.23137500000001</v>
      </c>
      <c r="H40" s="3">
        <v>1.1235809999999999</v>
      </c>
      <c r="I40" s="6">
        <v>20.193106</v>
      </c>
      <c r="J40" s="6">
        <v>28.26247</v>
      </c>
      <c r="K40" s="7">
        <v>1077</v>
      </c>
      <c r="L40" s="7">
        <v>753</v>
      </c>
      <c r="M40" s="6">
        <v>5099.5724799999998</v>
      </c>
      <c r="N40" s="6">
        <v>2.374952</v>
      </c>
    </row>
    <row r="41" spans="1:14" x14ac:dyDescent="0.25">
      <c r="A41" s="1">
        <v>0</v>
      </c>
      <c r="B41" s="1">
        <v>24</v>
      </c>
      <c r="C41" s="3">
        <v>-0.338198</v>
      </c>
      <c r="D41" s="3">
        <v>3.4556999999999997E-2</v>
      </c>
      <c r="E41" s="3">
        <v>107.03658799999999</v>
      </c>
      <c r="F41" s="3">
        <v>0.67281500000000005</v>
      </c>
      <c r="G41" s="3">
        <v>89.230502999999999</v>
      </c>
      <c r="H41" s="3">
        <v>3.324646</v>
      </c>
      <c r="I41" s="3">
        <v>0.23849300000000001</v>
      </c>
      <c r="J41" s="3">
        <v>20.193106</v>
      </c>
      <c r="K41" s="1">
        <v>1848</v>
      </c>
      <c r="L41" s="1">
        <v>1077</v>
      </c>
      <c r="M41" s="3">
        <v>12239.221938999999</v>
      </c>
      <c r="N41" s="3">
        <v>10.067788999999999</v>
      </c>
    </row>
    <row r="42" spans="1:14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1"/>
      <c r="L42" s="1"/>
      <c r="M42" s="3"/>
      <c r="N42" s="3"/>
    </row>
    <row r="43" spans="1:14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1"/>
      <c r="L43" s="1"/>
      <c r="M43" s="3"/>
      <c r="N43" s="3"/>
    </row>
    <row r="44" spans="1:14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1"/>
      <c r="L44" s="1"/>
      <c r="M44" s="3"/>
      <c r="N44" s="3"/>
    </row>
    <row r="45" spans="1:14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1"/>
      <c r="L45" s="1"/>
      <c r="M45" s="3"/>
      <c r="N45" s="3"/>
    </row>
    <row r="46" spans="1:14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1"/>
      <c r="L46" s="1"/>
      <c r="M46" s="3"/>
      <c r="N46" s="3"/>
    </row>
    <row r="47" spans="1:14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1"/>
      <c r="L47" s="1"/>
      <c r="M47" s="3"/>
      <c r="N47" s="3"/>
    </row>
    <row r="48" spans="1:14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1"/>
      <c r="L48" s="1"/>
      <c r="M48" s="3"/>
      <c r="N48" s="3"/>
    </row>
    <row r="49" spans="1:14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1"/>
      <c r="L49" s="1"/>
      <c r="M49" s="3"/>
      <c r="N49" s="3"/>
    </row>
    <row r="50" spans="1:14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1"/>
      <c r="L50" s="1"/>
      <c r="M50" s="3"/>
      <c r="N50" s="3"/>
    </row>
    <row r="51" spans="1:14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1"/>
      <c r="L51" s="1"/>
      <c r="M51" s="3"/>
      <c r="N51" s="3"/>
    </row>
    <row r="52" spans="1:14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1"/>
      <c r="L52" s="1"/>
      <c r="M52" s="3"/>
      <c r="N52" s="3"/>
    </row>
    <row r="53" spans="1:14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1"/>
      <c r="L53" s="1"/>
      <c r="M53" s="3"/>
      <c r="N53" s="3"/>
    </row>
    <row r="54" spans="1:14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1"/>
      <c r="L54" s="1"/>
      <c r="M54" s="3"/>
      <c r="N54" s="3"/>
    </row>
    <row r="55" spans="1:14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1"/>
      <c r="L55" s="1"/>
      <c r="M55" s="3"/>
      <c r="N55" s="3"/>
    </row>
    <row r="56" spans="1:14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1"/>
      <c r="L56" s="1"/>
      <c r="M56" s="3"/>
      <c r="N56" s="3"/>
    </row>
    <row r="57" spans="1:14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1"/>
      <c r="L57" s="1"/>
      <c r="M57" s="3"/>
      <c r="N57" s="3"/>
    </row>
    <row r="58" spans="1:14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1"/>
      <c r="L58" s="1"/>
      <c r="M58" s="3"/>
      <c r="N58" s="3"/>
    </row>
    <row r="59" spans="1:14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1"/>
      <c r="L59" s="1"/>
      <c r="M59" s="3"/>
      <c r="N59" s="3"/>
    </row>
    <row r="60" spans="1:14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1"/>
      <c r="L60" s="1"/>
      <c r="M60" s="3"/>
      <c r="N60" s="3"/>
    </row>
    <row r="61" spans="1:14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1"/>
      <c r="L61" s="1"/>
      <c r="M61" s="3"/>
      <c r="N61" s="3"/>
    </row>
    <row r="62" spans="1:14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1"/>
      <c r="L62" s="1"/>
      <c r="M62" s="3"/>
      <c r="N62" s="3"/>
    </row>
    <row r="63" spans="1:14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1"/>
      <c r="L63" s="1"/>
      <c r="M63" s="3"/>
      <c r="N63" s="3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workbookViewId="0">
      <pane ySplit="1" topLeftCell="A2" activePane="bottomLeft" state="frozen"/>
      <selection activeCell="Q1" sqref="Q1"/>
      <selection pane="bottomLeft" activeCell="O17" sqref="O17:P17"/>
    </sheetView>
  </sheetViews>
  <sheetFormatPr defaultRowHeight="14.4" x14ac:dyDescent="0.25"/>
  <cols>
    <col min="23" max="23" width="9.5546875" bestFit="1" customWidth="1"/>
    <col min="35" max="35" width="9.5546875" bestFit="1" customWidth="1"/>
    <col min="36" max="36" width="9.5546875" customWidth="1"/>
    <col min="42" max="43" width="9.5546875" bestFit="1" customWidth="1"/>
    <col min="44" max="44" width="10.5546875" bestFit="1" customWidth="1"/>
  </cols>
  <sheetData>
    <row r="1" spans="1:4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37</v>
      </c>
      <c r="P1" s="1" t="s">
        <v>1</v>
      </c>
      <c r="Q1" s="1" t="s">
        <v>44</v>
      </c>
      <c r="R1" s="1" t="s">
        <v>43</v>
      </c>
      <c r="S1" s="1"/>
      <c r="T1" s="1" t="s">
        <v>45</v>
      </c>
      <c r="U1" s="1" t="s">
        <v>42</v>
      </c>
      <c r="V1" s="1" t="s">
        <v>41</v>
      </c>
      <c r="W1" s="1" t="s">
        <v>18</v>
      </c>
      <c r="X1" s="1" t="s">
        <v>19</v>
      </c>
      <c r="Y1" t="s">
        <v>14</v>
      </c>
      <c r="Z1" t="s">
        <v>15</v>
      </c>
      <c r="AA1" t="s">
        <v>16</v>
      </c>
      <c r="AB1" t="s">
        <v>20</v>
      </c>
      <c r="AC1" t="s">
        <v>17</v>
      </c>
      <c r="AE1" t="s">
        <v>38</v>
      </c>
      <c r="AF1" t="s">
        <v>40</v>
      </c>
      <c r="AG1" t="s">
        <v>39</v>
      </c>
      <c r="AH1" t="s">
        <v>34</v>
      </c>
      <c r="AI1" t="s">
        <v>21</v>
      </c>
      <c r="AJ1" t="s">
        <v>36</v>
      </c>
      <c r="AK1" t="s">
        <v>30</v>
      </c>
      <c r="AL1" t="s">
        <v>31</v>
      </c>
      <c r="AM1" t="s">
        <v>23</v>
      </c>
      <c r="AN1" t="s">
        <v>27</v>
      </c>
      <c r="AO1" t="s">
        <v>28</v>
      </c>
      <c r="AP1" t="s">
        <v>35</v>
      </c>
      <c r="AQ1" t="s">
        <v>24</v>
      </c>
      <c r="AR1" t="s">
        <v>26</v>
      </c>
    </row>
    <row r="2" spans="1:46" x14ac:dyDescent="0.25">
      <c r="A2" s="1">
        <v>0</v>
      </c>
      <c r="B2" s="1">
        <v>4</v>
      </c>
      <c r="C2" s="3">
        <v>-2.5727250000000002</v>
      </c>
      <c r="D2" s="3">
        <v>0.39487299999999997</v>
      </c>
      <c r="E2" s="3">
        <v>102.396297</v>
      </c>
      <c r="F2" s="3">
        <v>1.8551569999999999</v>
      </c>
      <c r="G2" s="3">
        <v>17.091366000000001</v>
      </c>
      <c r="H2" s="3">
        <v>7.8683839999999998</v>
      </c>
      <c r="I2" s="3">
        <v>362.20040299999999</v>
      </c>
      <c r="J2" s="6">
        <v>498.48097899999999</v>
      </c>
      <c r="K2" s="1">
        <v>812</v>
      </c>
      <c r="L2" s="7">
        <v>516</v>
      </c>
      <c r="M2" s="3">
        <v>22617.504205000001</v>
      </c>
      <c r="N2" s="3">
        <v>2.969948</v>
      </c>
      <c r="O2" s="11">
        <v>1</v>
      </c>
      <c r="P2">
        <v>4</v>
      </c>
      <c r="Q2" s="1">
        <f>U2-T2</f>
        <v>1055</v>
      </c>
      <c r="R2" s="1">
        <f>U2-V2</f>
        <v>699</v>
      </c>
      <c r="S2" s="3">
        <f>R2/Q2</f>
        <v>0.6625592417061611</v>
      </c>
      <c r="T2" s="1">
        <f>L2</f>
        <v>516</v>
      </c>
      <c r="U2" s="1">
        <f>K4</f>
        <v>1571</v>
      </c>
      <c r="V2">
        <v>872</v>
      </c>
      <c r="W2" s="4">
        <v>103.012655</v>
      </c>
      <c r="X2" s="4">
        <v>50.020091000000001</v>
      </c>
      <c r="Y2" s="1">
        <f>K3-L2</f>
        <v>735</v>
      </c>
      <c r="Z2" s="4">
        <f>M3/1000</f>
        <v>39.845096448999996</v>
      </c>
      <c r="AA2" s="4">
        <f>J2</f>
        <v>498.48097899999999</v>
      </c>
      <c r="AB2" s="4">
        <f>J4</f>
        <v>32.797029000000002</v>
      </c>
      <c r="AC2" s="4">
        <f>N3</f>
        <v>7.47607</v>
      </c>
      <c r="AD2" s="4">
        <f>AC2*W2^0.5*(1-AI2)/150/(1-AI2^0.5)</f>
        <v>0.8583526829250504</v>
      </c>
      <c r="AE2" s="4">
        <f>AH2/(AF2-AG2)/1000</f>
        <v>0.7713073587260304</v>
      </c>
      <c r="AF2" s="4">
        <f>0.15*W2^0.5</f>
        <v>1.5224272519565589</v>
      </c>
      <c r="AG2" s="4">
        <f>0.15*X2^0.5</f>
        <v>1.0608732476125504</v>
      </c>
      <c r="AH2" s="1">
        <f>V2-T2</f>
        <v>356</v>
      </c>
      <c r="AI2" s="3">
        <f>X2/W2</f>
        <v>0.48557229206450414</v>
      </c>
      <c r="AJ2" s="3">
        <f>(W2^0.05-X2^0.05)/(W2-X2)</f>
        <v>8.4406051961305256E-4</v>
      </c>
      <c r="AK2" s="3">
        <f>(W2^0.1-X2^0.1)/(W2-X2)</f>
        <v>2.0906208916716177E-3</v>
      </c>
      <c r="AL2" s="3">
        <f>(W2^0.3-X2^0.3)/(W2-X2)</f>
        <v>1.4769141355635257E-2</v>
      </c>
      <c r="AM2" s="3">
        <f>(W2^0.5-X2^0.5)/(W2-X2)</f>
        <v>5.8065254129366597E-2</v>
      </c>
      <c r="AN2" s="3">
        <f>(W2^0.7-X2^0.7)/(W2-X2)</f>
        <v>0.19209108042596876</v>
      </c>
      <c r="AO2" s="3">
        <f>(AB2^0.05-AC2^0.05)/(AB2-AC2)</f>
        <v>3.3510905839312386E-3</v>
      </c>
      <c r="AP2" s="3">
        <f>(AC2^0.05-AH2^0.05)/(AC2-AH2)</f>
        <v>6.7606783945129247E-4</v>
      </c>
      <c r="AQ2" s="3">
        <f>(W2^1.5-X2^1.5)/(W2-X2)</f>
        <v>13.053944308532776</v>
      </c>
      <c r="AR2" s="3">
        <f t="shared" ref="AR2" si="0">(AI2^0.05-AJ2^0.05)/(AI2-AJ2)</f>
        <v>0.54164996789461783</v>
      </c>
      <c r="AS2" s="3"/>
      <c r="AT2" s="3"/>
    </row>
    <row r="3" spans="1:46" x14ac:dyDescent="0.25">
      <c r="A3" s="1">
        <v>0</v>
      </c>
      <c r="B3" s="1">
        <v>4</v>
      </c>
      <c r="C3" s="3">
        <v>-0.48052800000000001</v>
      </c>
      <c r="D3" s="3">
        <v>8.1442000000000001E-2</v>
      </c>
      <c r="E3" s="6">
        <v>103.012655</v>
      </c>
      <c r="F3" s="3">
        <v>0.44234099999999998</v>
      </c>
      <c r="G3" s="3">
        <v>100.087926</v>
      </c>
      <c r="H3" s="3">
        <v>1.663084</v>
      </c>
      <c r="I3" s="6">
        <v>32.797029000000002</v>
      </c>
      <c r="J3" s="3">
        <v>362.20040299999999</v>
      </c>
      <c r="K3" s="7">
        <v>1251</v>
      </c>
      <c r="L3" s="1">
        <v>812</v>
      </c>
      <c r="M3" s="6">
        <v>39845.096448999997</v>
      </c>
      <c r="N3" s="6">
        <v>7.47607</v>
      </c>
      <c r="O3" s="11"/>
      <c r="Q3" s="1"/>
      <c r="R3" s="1"/>
      <c r="S3" s="3"/>
      <c r="T3" s="1"/>
      <c r="W3" s="4"/>
      <c r="X3" s="4"/>
      <c r="Y3" s="5"/>
      <c r="Z3" s="4"/>
      <c r="AA3" s="4"/>
      <c r="AB3" s="4"/>
      <c r="AC3" s="4"/>
      <c r="AD3" s="4"/>
      <c r="AE3" s="4"/>
      <c r="AF3" s="4"/>
      <c r="AG3" s="4"/>
      <c r="AH3" s="1"/>
      <c r="AI3" s="3" t="s">
        <v>22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">
        <v>0</v>
      </c>
      <c r="B4" s="1">
        <v>4</v>
      </c>
      <c r="C4" s="3">
        <v>-0.38076900000000002</v>
      </c>
      <c r="D4" s="3">
        <v>3.9232999999999997E-2</v>
      </c>
      <c r="E4" s="6">
        <v>50.020091000000001</v>
      </c>
      <c r="F4" s="3">
        <v>0.31306</v>
      </c>
      <c r="G4" s="3">
        <v>46.889100999999997</v>
      </c>
      <c r="H4" s="3">
        <v>1.0795079999999999</v>
      </c>
      <c r="I4" s="3">
        <v>0.57067900000000005</v>
      </c>
      <c r="J4" s="3">
        <v>32.797029000000002</v>
      </c>
      <c r="K4" s="1">
        <v>1571</v>
      </c>
      <c r="L4" s="1">
        <v>1251</v>
      </c>
      <c r="M4" s="3">
        <v>48125.938644000002</v>
      </c>
      <c r="N4" s="3">
        <v>14.12801</v>
      </c>
      <c r="O4" s="11">
        <v>2</v>
      </c>
      <c r="P4">
        <v>6</v>
      </c>
      <c r="Q4" s="1">
        <f t="shared" ref="Q4:Q22" si="1">U4-T4</f>
        <v>1048</v>
      </c>
      <c r="R4" s="1">
        <f>U4-V4</f>
        <v>684</v>
      </c>
      <c r="S4" s="3">
        <f t="shared" ref="S4:S22" si="2">R4/Q4</f>
        <v>0.65267175572519087</v>
      </c>
      <c r="T4" s="1">
        <f>L5</f>
        <v>603</v>
      </c>
      <c r="U4" s="1">
        <f>K7</f>
        <v>1651</v>
      </c>
      <c r="V4">
        <v>967</v>
      </c>
      <c r="W4" s="8">
        <f>E5</f>
        <v>255.91900000000001</v>
      </c>
      <c r="X4" s="4">
        <f>E6</f>
        <v>58.872517000000002</v>
      </c>
      <c r="Y4" s="1">
        <f>K5-L5</f>
        <v>360</v>
      </c>
      <c r="Z4" s="4">
        <f>M5/1000</f>
        <v>7.5469992069999998</v>
      </c>
      <c r="AA4" s="4">
        <f>J5</f>
        <v>206.62106800000001</v>
      </c>
      <c r="AB4" s="4">
        <f>I5</f>
        <v>190.98807300000001</v>
      </c>
      <c r="AC4" s="4">
        <f>N5</f>
        <v>1.386736</v>
      </c>
      <c r="AD4" s="4">
        <f t="shared" ref="AD4:AD22" si="3">AC4*W4^0.5*(1-AI4)/150/(1-AI4^0.5)</f>
        <v>0.21882981942009833</v>
      </c>
      <c r="AE4" s="4">
        <f t="shared" ref="AE4:AE22" si="4">AH4/(AF4-AG4)/1000</f>
        <v>0.29150459691277936</v>
      </c>
      <c r="AF4" s="4">
        <f t="shared" ref="AF4:AF22" si="5">0.15*W4^0.5</f>
        <v>2.399620282461373</v>
      </c>
      <c r="AG4" s="4">
        <f t="shared" ref="AG4:AG22" si="6">0.15*X4^0.5</f>
        <v>1.1509264235823244</v>
      </c>
      <c r="AH4" s="1">
        <f>V4-T4</f>
        <v>364</v>
      </c>
      <c r="AI4" s="3">
        <f t="shared" ref="AI4:AI21" si="7">X4/W4</f>
        <v>0.23004355675037805</v>
      </c>
      <c r="AJ4" s="3">
        <f>(W4^0.05-X4^0.05)/(W4-X4)</f>
        <v>4.7436759366828538E-4</v>
      </c>
      <c r="AK4" s="3">
        <f>(W4^0.1-X4^0.1)/(W4-X4)</f>
        <v>1.2075034683070533E-3</v>
      </c>
      <c r="AL4" s="3">
        <f>(W4^0.3-X4^0.3)/(W4-X4)</f>
        <v>9.5484215803756049E-3</v>
      </c>
      <c r="AM4" s="3">
        <f>(W4^0.5-X4^0.5)/(W4-X4)</f>
        <v>4.2247015014524894E-2</v>
      </c>
      <c r="AN4" s="3">
        <f>(W4^0.7-X4^0.7)/(W4-X4)</f>
        <v>0.15811796635479952</v>
      </c>
      <c r="AO4" s="3">
        <f>W4^(0.9)*(1-AI4^0.9)</f>
        <v>107.82442534409074</v>
      </c>
      <c r="AP4" s="3">
        <f>W4^(1)*(1-AI4^1)</f>
        <v>197.04648300000002</v>
      </c>
      <c r="AQ4" s="3">
        <f>(W4^1.5-X4^1.5)/(W4-X4)</f>
        <v>18.48465665938436</v>
      </c>
      <c r="AR4" s="3">
        <f>W4^(2)*(1-AI4^2)</f>
        <v>62028.561303084716</v>
      </c>
      <c r="AS4" s="3"/>
      <c r="AT4" s="3"/>
    </row>
    <row r="5" spans="1:46" x14ac:dyDescent="0.25">
      <c r="A5" s="1">
        <v>0</v>
      </c>
      <c r="B5" s="1">
        <v>6</v>
      </c>
      <c r="C5" s="3">
        <v>-8.9215499999999999</v>
      </c>
      <c r="D5" s="3">
        <v>3.1297830000000002</v>
      </c>
      <c r="E5" s="6">
        <v>255.91900000000001</v>
      </c>
      <c r="F5" s="3">
        <v>1.722105</v>
      </c>
      <c r="G5" s="3">
        <v>256.72194400000001</v>
      </c>
      <c r="H5" s="3">
        <v>2.8117260000000002</v>
      </c>
      <c r="I5" s="6">
        <v>190.98807300000001</v>
      </c>
      <c r="J5" s="6">
        <v>206.62106800000001</v>
      </c>
      <c r="K5" s="7">
        <v>963</v>
      </c>
      <c r="L5" s="7">
        <v>603</v>
      </c>
      <c r="M5" s="6">
        <v>7546.9992069999998</v>
      </c>
      <c r="N5" s="6">
        <v>1.386736</v>
      </c>
      <c r="O5" s="11">
        <v>3</v>
      </c>
      <c r="P5">
        <v>7</v>
      </c>
      <c r="Q5" s="1">
        <f t="shared" si="1"/>
        <v>885</v>
      </c>
      <c r="R5" s="1">
        <f>U5-V5</f>
        <v>601</v>
      </c>
      <c r="S5" s="3">
        <f t="shared" si="2"/>
        <v>0.67909604519774014</v>
      </c>
      <c r="T5" s="1">
        <f>L8</f>
        <v>763</v>
      </c>
      <c r="U5" s="1">
        <f>K10</f>
        <v>1648</v>
      </c>
      <c r="V5">
        <v>1047</v>
      </c>
      <c r="W5" s="4">
        <f>E8</f>
        <v>149.638644</v>
      </c>
      <c r="X5" s="4">
        <f>E9</f>
        <v>57.396161999999997</v>
      </c>
      <c r="Y5" s="1">
        <f>K8-L8</f>
        <v>452</v>
      </c>
      <c r="Z5" s="4">
        <f>M8/1000</f>
        <v>9.2350012259999996</v>
      </c>
      <c r="AA5" s="4">
        <f>J8</f>
        <v>62.660808000000003</v>
      </c>
      <c r="AB5" s="4">
        <f>I8</f>
        <v>41.293337000000001</v>
      </c>
      <c r="AC5" s="4">
        <f>N8</f>
        <v>3.0859009999999998</v>
      </c>
      <c r="AD5" s="4">
        <f t="shared" si="3"/>
        <v>0.40751818163479486</v>
      </c>
      <c r="AE5" s="4">
        <f t="shared" si="4"/>
        <v>0.40658594385045943</v>
      </c>
      <c r="AF5" s="4">
        <f t="shared" si="5"/>
        <v>1.8349031282332045</v>
      </c>
      <c r="AG5" s="4">
        <f t="shared" si="6"/>
        <v>1.1364038212712944</v>
      </c>
      <c r="AH5" s="1">
        <f>V5-T5</f>
        <v>284</v>
      </c>
      <c r="AI5" s="3">
        <f t="shared" si="7"/>
        <v>0.38356510367736291</v>
      </c>
      <c r="AJ5" s="3">
        <f>(W5^0.05-X5^0.05)/(W5-X5)</f>
        <v>6.5148692406088592E-4</v>
      </c>
      <c r="AK5" s="3">
        <f>(W5^0.1-X5^0.1)/(W5-X5)</f>
        <v>1.6345886265106599E-3</v>
      </c>
      <c r="AL5" s="3">
        <f>(W5^0.3-X5^0.3)/(W5-X5)</f>
        <v>1.2168881303881123E-2</v>
      </c>
      <c r="AM5" s="3">
        <f>(W5^0.5-X5^0.5)/(W5-X5)</f>
        <v>5.0482835516207532E-2</v>
      </c>
      <c r="AN5" s="3">
        <f>(W5^0.7-X5^0.7)/(W5-X5)</f>
        <v>0.17645334230760709</v>
      </c>
      <c r="AO5" s="3">
        <f>(Y5^0.5-Z5^0.5)/(Y5-Z5)</f>
        <v>4.1153607883193798E-2</v>
      </c>
      <c r="AP5" s="3">
        <f>(Z5^0.5-AA5^0.5)/(Z5-AA5)</f>
        <v>9.1284415169076955E-2</v>
      </c>
      <c r="AQ5" s="3">
        <f>(W5^1.5-X5^1.5)/(W5-X5)</f>
        <v>15.130208527062287</v>
      </c>
      <c r="AR5" s="3">
        <f>(AB5^0.5-AC5^0.5)/(AB5-AC5)</f>
        <v>0.12220961145256412</v>
      </c>
      <c r="AS5" s="3"/>
      <c r="AT5" s="3"/>
    </row>
    <row r="6" spans="1:46" x14ac:dyDescent="0.25">
      <c r="A6" s="1">
        <v>0</v>
      </c>
      <c r="B6" s="1">
        <v>6</v>
      </c>
      <c r="C6" s="3">
        <v>0.109211</v>
      </c>
      <c r="D6" s="3">
        <v>9.4449000000000005E-2</v>
      </c>
      <c r="E6" s="6">
        <v>58.872517000000002</v>
      </c>
      <c r="F6" s="3">
        <v>0.756166</v>
      </c>
      <c r="G6" s="3">
        <v>28.942478000000001</v>
      </c>
      <c r="H6" s="3">
        <v>2.9727839999999999</v>
      </c>
      <c r="I6" s="3">
        <v>41.837398999999998</v>
      </c>
      <c r="J6" s="3">
        <v>190.98807300000001</v>
      </c>
      <c r="K6" s="1">
        <v>1212</v>
      </c>
      <c r="L6" s="1">
        <v>963</v>
      </c>
      <c r="M6" s="3">
        <v>26746.929077000001</v>
      </c>
      <c r="N6" s="3">
        <v>5.9173819999999999</v>
      </c>
      <c r="O6" s="11">
        <v>4</v>
      </c>
      <c r="P6">
        <v>8</v>
      </c>
      <c r="Q6" s="1">
        <f t="shared" si="1"/>
        <v>755</v>
      </c>
      <c r="R6" s="1">
        <f>U6-V6</f>
        <v>595</v>
      </c>
      <c r="S6" s="3">
        <f t="shared" si="2"/>
        <v>0.78807947019867552</v>
      </c>
      <c r="T6" s="1">
        <f>L11</f>
        <v>723</v>
      </c>
      <c r="U6" s="1">
        <f>K13</f>
        <v>1478</v>
      </c>
      <c r="V6">
        <v>883</v>
      </c>
      <c r="W6" s="4">
        <f>E11</f>
        <v>139.71823699999999</v>
      </c>
      <c r="X6" s="4">
        <f>E12</f>
        <v>58.203493999999999</v>
      </c>
      <c r="Y6" s="1">
        <f>K11-L11</f>
        <v>250</v>
      </c>
      <c r="Z6" s="4">
        <f>M11/1000</f>
        <v>9.458841284</v>
      </c>
      <c r="AA6" s="4">
        <f>J11</f>
        <v>209.888633</v>
      </c>
      <c r="AB6" s="4">
        <f>I11</f>
        <v>175.001598</v>
      </c>
      <c r="AC6" s="4">
        <f>N11</f>
        <v>1.757935</v>
      </c>
      <c r="AD6" s="4">
        <f t="shared" si="3"/>
        <v>0.22793816903702707</v>
      </c>
      <c r="AE6" s="4">
        <f t="shared" si="4"/>
        <v>0.25450602119692584</v>
      </c>
      <c r="AF6" s="4">
        <f t="shared" si="5"/>
        <v>1.7730370364152011</v>
      </c>
      <c r="AG6" s="4">
        <f t="shared" si="6"/>
        <v>1.1443682165282292</v>
      </c>
      <c r="AH6" s="1">
        <f>V6-T6</f>
        <v>160</v>
      </c>
      <c r="AI6" s="3">
        <f t="shared" si="7"/>
        <v>0.4165776440479993</v>
      </c>
      <c r="AJ6" s="3">
        <f>(W6^0.05-X6^0.05)/(W6-X6)</f>
        <v>6.7277556927062459E-4</v>
      </c>
      <c r="AK6" s="3">
        <f>(W6^0.1-X6^0.1)/(W6-X6)</f>
        <v>1.6856186357383379E-3</v>
      </c>
      <c r="AL6" s="3">
        <f>(W6^0.3-X6^0.3)/(W6-X6)</f>
        <v>1.2474127270895734E-2</v>
      </c>
      <c r="AM6" s="3">
        <f>(W6^0.5-X6^0.5)/(W6-X6)</f>
        <v>5.1415551490031047E-2</v>
      </c>
      <c r="AN6" s="3">
        <f>(W6^0.7-X6^0.7)/(W6-X6)</f>
        <v>0.17846677120538718</v>
      </c>
      <c r="AO6" s="3">
        <f>W6^(0.9)*(1-AI6^0.9)</f>
        <v>46.490274425043744</v>
      </c>
      <c r="AP6" s="3">
        <f>W6^(1)*(1-AI6^1)</f>
        <v>81.514742999999982</v>
      </c>
      <c r="AQ6" s="3">
        <f>(W6^1.5-X6^1.5)/(W6-X6)</f>
        <v>14.812811652091396</v>
      </c>
      <c r="AR6" s="3">
        <f>W6^(2)*(1-AI6^2)</f>
        <v>16133.539036580129</v>
      </c>
      <c r="AS6" s="3"/>
      <c r="AT6" s="3"/>
    </row>
    <row r="7" spans="1:46" x14ac:dyDescent="0.25">
      <c r="A7" s="1">
        <v>0</v>
      </c>
      <c r="B7" s="1">
        <v>6</v>
      </c>
      <c r="C7" s="3">
        <v>-0.63939100000000004</v>
      </c>
      <c r="D7" s="3">
        <v>2.4382000000000001E-2</v>
      </c>
      <c r="E7" s="3">
        <v>39.204349000000001</v>
      </c>
      <c r="F7" s="3">
        <v>0.77903599999999995</v>
      </c>
      <c r="G7" s="3">
        <v>32.032300999999997</v>
      </c>
      <c r="H7" s="3">
        <v>3.9039670000000002</v>
      </c>
      <c r="I7" s="3">
        <v>0.15757599999999999</v>
      </c>
      <c r="J7" s="3">
        <v>41.837398999999998</v>
      </c>
      <c r="K7" s="1">
        <v>1651</v>
      </c>
      <c r="L7" s="1">
        <v>1212</v>
      </c>
      <c r="M7" s="3">
        <v>37577.263844000001</v>
      </c>
      <c r="N7" s="3">
        <v>16.223047000000001</v>
      </c>
      <c r="O7" s="11"/>
      <c r="Q7" s="1"/>
      <c r="R7" s="1"/>
      <c r="S7" s="3"/>
      <c r="T7" s="1"/>
      <c r="W7" s="4"/>
      <c r="X7" s="4"/>
      <c r="Y7" s="5"/>
      <c r="Z7" s="4"/>
      <c r="AA7" s="4"/>
      <c r="AB7" s="4"/>
      <c r="AC7" s="4"/>
      <c r="AD7" s="4"/>
      <c r="AE7" s="4"/>
      <c r="AF7" s="4"/>
      <c r="AG7" s="4"/>
      <c r="AH7" s="1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5">
      <c r="A8" s="1">
        <v>0</v>
      </c>
      <c r="B8" s="1">
        <v>7</v>
      </c>
      <c r="C8" s="3">
        <v>-2.5805000000000002E-2</v>
      </c>
      <c r="D8" s="3">
        <v>0.40816799999999998</v>
      </c>
      <c r="E8" s="6">
        <v>149.638644</v>
      </c>
      <c r="F8" s="3">
        <v>0.65706200000000003</v>
      </c>
      <c r="G8" s="3">
        <v>148.239045</v>
      </c>
      <c r="H8" s="3">
        <v>1.886517</v>
      </c>
      <c r="I8" s="6">
        <v>41.293337000000001</v>
      </c>
      <c r="J8" s="6">
        <v>62.660808000000003</v>
      </c>
      <c r="K8" s="7">
        <v>1215</v>
      </c>
      <c r="L8" s="7">
        <v>763</v>
      </c>
      <c r="M8" s="6">
        <v>9235.0012260000003</v>
      </c>
      <c r="N8" s="6">
        <v>3.0859009999999998</v>
      </c>
      <c r="O8" s="11"/>
      <c r="Q8" s="1"/>
      <c r="R8" s="1"/>
      <c r="S8" s="3"/>
      <c r="T8" s="1"/>
      <c r="W8" s="4"/>
      <c r="X8" s="4"/>
      <c r="Y8" s="5"/>
      <c r="Z8" s="4"/>
      <c r="AA8" s="4"/>
      <c r="AB8" s="4"/>
      <c r="AC8" s="4"/>
      <c r="AD8" s="4"/>
      <c r="AE8" s="4"/>
      <c r="AF8" s="4"/>
      <c r="AG8" s="4"/>
      <c r="AH8" s="1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5">
      <c r="A9" s="1">
        <v>0</v>
      </c>
      <c r="B9" s="1">
        <v>7</v>
      </c>
      <c r="C9" s="3">
        <v>6.4310999999999993E-2</v>
      </c>
      <c r="D9" s="3">
        <v>0.114997</v>
      </c>
      <c r="E9" s="6">
        <v>57.396161999999997</v>
      </c>
      <c r="F9" s="3">
        <v>0.57924500000000001</v>
      </c>
      <c r="G9" s="3">
        <v>53.053255</v>
      </c>
      <c r="H9" s="3">
        <v>1.779102</v>
      </c>
      <c r="I9" s="3">
        <v>11.437011</v>
      </c>
      <c r="J9" s="3">
        <v>41.293337000000001</v>
      </c>
      <c r="K9" s="1">
        <v>1390</v>
      </c>
      <c r="L9" s="1">
        <v>1215</v>
      </c>
      <c r="M9" s="3">
        <v>15311.377782</v>
      </c>
      <c r="N9" s="3">
        <v>5.9969770000000002</v>
      </c>
      <c r="O9" s="11">
        <v>7</v>
      </c>
      <c r="P9">
        <v>11</v>
      </c>
      <c r="Q9" s="1">
        <f t="shared" si="1"/>
        <v>1420</v>
      </c>
      <c r="R9" s="1">
        <f>U9-V9</f>
        <v>980</v>
      </c>
      <c r="S9" s="3">
        <f t="shared" si="2"/>
        <v>0.6901408450704225</v>
      </c>
      <c r="T9" s="1">
        <f>L14</f>
        <v>746</v>
      </c>
      <c r="U9" s="1">
        <f>K15</f>
        <v>2166</v>
      </c>
      <c r="V9">
        <v>1186</v>
      </c>
      <c r="W9" s="4">
        <f>E14</f>
        <v>135.229241</v>
      </c>
      <c r="X9" s="4">
        <f>E15</f>
        <v>73.901133000000002</v>
      </c>
      <c r="Y9" s="1">
        <f>K14-L14</f>
        <v>978</v>
      </c>
      <c r="Z9" s="4">
        <f>M14/1000</f>
        <v>13.360053712999999</v>
      </c>
      <c r="AA9" s="4">
        <f>J14</f>
        <v>31.35436</v>
      </c>
      <c r="AB9" s="4">
        <f>I14</f>
        <v>5.3022080000000003</v>
      </c>
      <c r="AC9" s="4">
        <f>N14</f>
        <v>7.1809409999999998</v>
      </c>
      <c r="AD9" s="4">
        <f t="shared" si="3"/>
        <v>0.96824876872495813</v>
      </c>
      <c r="AE9" s="4">
        <f>AH9/(AF9-AG9)/1000</f>
        <v>0.96738356463242414</v>
      </c>
      <c r="AF9" s="4">
        <f t="shared" si="5"/>
        <v>1.7443216224366422</v>
      </c>
      <c r="AG9" s="4">
        <f t="shared" si="6"/>
        <v>1.2894865228066559</v>
      </c>
      <c r="AH9" s="1">
        <f>V9-T9</f>
        <v>440</v>
      </c>
      <c r="AI9" s="3">
        <f t="shared" si="7"/>
        <v>0.54648781915443867</v>
      </c>
      <c r="AJ9" s="3">
        <f>(W9^0.05-X9^0.05)/(W9-X9)</f>
        <v>6.2020007225832596E-4</v>
      </c>
      <c r="AK9" s="3">
        <f>(W9^0.1-X9^0.1)/(W9-X9)</f>
        <v>1.5617244177298698E-3</v>
      </c>
      <c r="AL9" s="3">
        <f>(W9^0.3-X9^0.3)/(W9-X9)</f>
        <v>1.1782195266943865E-2</v>
      </c>
      <c r="AM9" s="3">
        <f>(W9^0.5-X9^0.5)/(W9-X9)</f>
        <v>4.9442810098319731E-2</v>
      </c>
      <c r="AN9" s="3">
        <f>(W9^0.7-X9^0.7)/(W9-X9)</f>
        <v>0.1744959881071205</v>
      </c>
      <c r="AO9" s="3">
        <f>W9^(0.9)*(1-AI9^0.9)</f>
        <v>34.727021962838322</v>
      </c>
      <c r="AP9" s="3">
        <f>W9^(1)*(1-AI9^1)</f>
        <v>61.328108</v>
      </c>
      <c r="AQ9" s="3">
        <f>(W9^1.5-X9^1.5)/(W9-X9)</f>
        <v>15.282690501213944</v>
      </c>
      <c r="AR9" s="3">
        <f>W9^(2)*(1-AI9^2)</f>
        <v>12825.57016275239</v>
      </c>
      <c r="AS9" s="3"/>
      <c r="AT9" s="3"/>
    </row>
    <row r="10" spans="1:46" x14ac:dyDescent="0.25">
      <c r="A10" s="1">
        <v>0</v>
      </c>
      <c r="B10" s="1">
        <v>7</v>
      </c>
      <c r="C10" s="3">
        <v>-0.40954600000000002</v>
      </c>
      <c r="D10" s="3">
        <v>2.1520999999999998E-2</v>
      </c>
      <c r="E10" s="3">
        <v>30.165521999999999</v>
      </c>
      <c r="F10" s="3">
        <v>0.13372899999999999</v>
      </c>
      <c r="G10" s="3">
        <v>29.657705</v>
      </c>
      <c r="H10" s="3">
        <v>0.35350199999999998</v>
      </c>
      <c r="I10" s="3">
        <v>8.7304999999999994E-2</v>
      </c>
      <c r="J10" s="3">
        <v>11.437011</v>
      </c>
      <c r="K10" s="1">
        <v>1648</v>
      </c>
      <c r="L10" s="1">
        <v>1390</v>
      </c>
      <c r="M10" s="3">
        <v>21131.088756000001</v>
      </c>
      <c r="N10" s="3">
        <v>14.897561</v>
      </c>
      <c r="O10" s="11">
        <v>8</v>
      </c>
      <c r="P10">
        <v>12</v>
      </c>
      <c r="Q10" s="1">
        <f t="shared" si="1"/>
        <v>1178</v>
      </c>
      <c r="R10" s="1">
        <f>U10-V10</f>
        <v>944</v>
      </c>
      <c r="S10" s="3">
        <f t="shared" si="2"/>
        <v>0.80135823429541597</v>
      </c>
      <c r="T10" s="1">
        <f>L16</f>
        <v>685</v>
      </c>
      <c r="U10" s="1">
        <f>K17</f>
        <v>1863</v>
      </c>
      <c r="V10">
        <v>919</v>
      </c>
      <c r="W10" s="4">
        <f>E16</f>
        <v>132.754212</v>
      </c>
      <c r="X10" s="4">
        <f>E17</f>
        <v>85.090459999999993</v>
      </c>
      <c r="Y10" s="1">
        <f>K16-L16</f>
        <v>654</v>
      </c>
      <c r="Z10" s="4">
        <f>M16/1000</f>
        <v>14.200726489000001</v>
      </c>
      <c r="AA10" s="4">
        <f>J16</f>
        <v>115.176087</v>
      </c>
      <c r="AB10" s="4">
        <f>I16</f>
        <v>19.421199000000001</v>
      </c>
      <c r="AC10" s="4">
        <f>N16</f>
        <v>4.9772249999999998</v>
      </c>
      <c r="AD10" s="4">
        <f t="shared" si="3"/>
        <v>0.68839502714547673</v>
      </c>
      <c r="AE10" s="4">
        <f t="shared" si="4"/>
        <v>0.67901298847328029</v>
      </c>
      <c r="AF10" s="4">
        <f t="shared" si="5"/>
        <v>1.7282852108376092</v>
      </c>
      <c r="AG10" s="4">
        <f t="shared" si="6"/>
        <v>1.3836673552555903</v>
      </c>
      <c r="AH10" s="1">
        <f>V10-T10</f>
        <v>234</v>
      </c>
      <c r="AI10" s="3">
        <f t="shared" si="7"/>
        <v>0.6409624125523038</v>
      </c>
      <c r="AJ10" s="3">
        <f>(W10^0.05-X10^0.05)/(W10-X10)</f>
        <v>5.8920112205440567E-4</v>
      </c>
      <c r="AK10" s="3">
        <f>(W10^0.1-X10^0.1)/(W10-X10)</f>
        <v>1.4881394821152777E-3</v>
      </c>
      <c r="AL10" s="3">
        <f>(W10^0.3-X10^0.3)/(W10-X10)</f>
        <v>1.1359106141537621E-2</v>
      </c>
      <c r="AM10" s="3">
        <f>(W10^0.5-X10^0.5)/(W10-X10)</f>
        <v>4.8201248834686641E-2</v>
      </c>
      <c r="AN10" s="3">
        <f>(W10^0.7-X10^0.7)/(W10-X10)</f>
        <v>0.17192434428259129</v>
      </c>
      <c r="AO10" s="3">
        <f>W10^(0.9)*(1-AI10^0.9)</f>
        <v>26.860006562079317</v>
      </c>
      <c r="AP10" s="3">
        <f>W10^(1)*(1-AI10^1)</f>
        <v>47.663752000000002</v>
      </c>
      <c r="AQ10" s="3">
        <f>(W10^1.5-X10^1.5)/(W10-X10)</f>
        <v>15.623367841502025</v>
      </c>
      <c r="AR10" s="3">
        <f>W10^(2)*(1-AI10^2)</f>
        <v>10383.294420729344</v>
      </c>
      <c r="AS10" s="3"/>
      <c r="AT10" s="3"/>
    </row>
    <row r="11" spans="1:46" x14ac:dyDescent="0.25">
      <c r="A11" s="1">
        <v>0</v>
      </c>
      <c r="B11" s="1">
        <v>8</v>
      </c>
      <c r="C11" s="3">
        <v>7.6530000000000001E-3</v>
      </c>
      <c r="D11" s="3">
        <v>1.337799</v>
      </c>
      <c r="E11" s="6">
        <v>139.71823699999999</v>
      </c>
      <c r="F11" s="3">
        <v>1.418431</v>
      </c>
      <c r="G11" s="3">
        <v>137.996174</v>
      </c>
      <c r="H11" s="3">
        <v>4.2118330000000004</v>
      </c>
      <c r="I11" s="6">
        <v>175.001598</v>
      </c>
      <c r="J11" s="6">
        <v>209.888633</v>
      </c>
      <c r="K11" s="7">
        <v>973</v>
      </c>
      <c r="L11" s="7">
        <v>723</v>
      </c>
      <c r="M11" s="6">
        <v>9458.8412840000001</v>
      </c>
      <c r="N11" s="6">
        <v>1.757935</v>
      </c>
      <c r="O11" s="11"/>
      <c r="Q11" s="1"/>
      <c r="R11" s="1"/>
      <c r="S11" s="3"/>
      <c r="T11" s="1"/>
      <c r="W11" s="4"/>
      <c r="X11" s="4"/>
      <c r="Y11" s="5"/>
      <c r="Z11" s="4"/>
      <c r="AA11" s="4"/>
      <c r="AB11" s="4"/>
      <c r="AC11" s="8"/>
      <c r="AD11" s="4"/>
      <c r="AE11" s="4"/>
      <c r="AF11" s="4"/>
      <c r="AG11" s="4"/>
      <c r="AH11" s="1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A12" s="1">
        <v>0</v>
      </c>
      <c r="B12" s="1">
        <v>8</v>
      </c>
      <c r="C12" s="3">
        <v>-0.21132400000000001</v>
      </c>
      <c r="D12" s="3">
        <v>2.8570000000000002E-2</v>
      </c>
      <c r="E12" s="6">
        <v>58.203493999999999</v>
      </c>
      <c r="F12" s="3">
        <v>0.41419400000000001</v>
      </c>
      <c r="G12" s="3">
        <v>46.367829999999998</v>
      </c>
      <c r="H12" s="3">
        <v>1.9653890000000001</v>
      </c>
      <c r="I12" s="3">
        <v>14.946263</v>
      </c>
      <c r="J12" s="3">
        <v>175.001598</v>
      </c>
      <c r="K12" s="1">
        <v>1263</v>
      </c>
      <c r="L12" s="1">
        <v>973</v>
      </c>
      <c r="M12" s="3">
        <v>25539.824255</v>
      </c>
      <c r="N12" s="3">
        <v>6.6930690000000004</v>
      </c>
      <c r="O12" s="11"/>
      <c r="Q12" s="1"/>
      <c r="R12" s="1"/>
      <c r="S12" s="3"/>
      <c r="T12" s="1"/>
      <c r="W12" s="4"/>
      <c r="X12" s="4"/>
      <c r="Y12" s="5"/>
      <c r="Z12" s="4"/>
      <c r="AA12" s="4"/>
      <c r="AB12" s="4"/>
      <c r="AC12" s="8"/>
      <c r="AD12" s="4"/>
      <c r="AE12" s="4"/>
      <c r="AF12" s="4"/>
      <c r="AG12" s="4"/>
      <c r="AH12" s="1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5">
      <c r="A13" s="1">
        <v>0</v>
      </c>
      <c r="B13" s="1">
        <v>8</v>
      </c>
      <c r="C13" s="3">
        <v>-0.42057899999999998</v>
      </c>
      <c r="D13" s="3">
        <v>2.2838000000000001E-2</v>
      </c>
      <c r="E13" s="3">
        <v>31.468686999999999</v>
      </c>
      <c r="F13" s="3">
        <v>0.201318</v>
      </c>
      <c r="G13" s="3">
        <v>30.824092</v>
      </c>
      <c r="H13" s="3">
        <v>0.69335999999999998</v>
      </c>
      <c r="I13" s="3">
        <v>0.15012300000000001</v>
      </c>
      <c r="J13" s="3">
        <v>14.946263</v>
      </c>
      <c r="K13" s="1">
        <v>1478</v>
      </c>
      <c r="L13" s="1">
        <v>1263</v>
      </c>
      <c r="M13" s="3">
        <v>30696.759827999998</v>
      </c>
      <c r="N13" s="3">
        <v>13.385482</v>
      </c>
      <c r="O13" s="11">
        <v>11</v>
      </c>
      <c r="P13">
        <v>15</v>
      </c>
      <c r="Q13" s="1">
        <f t="shared" si="1"/>
        <v>1323</v>
      </c>
      <c r="R13" s="1">
        <f>U13-V13</f>
        <v>1068</v>
      </c>
      <c r="S13" s="3">
        <f t="shared" si="2"/>
        <v>0.80725623582766437</v>
      </c>
      <c r="T13" s="1">
        <f>L20</f>
        <v>476</v>
      </c>
      <c r="U13" s="1">
        <f>K22</f>
        <v>1799</v>
      </c>
      <c r="V13">
        <v>731</v>
      </c>
      <c r="W13" s="4">
        <f>E20</f>
        <v>178.531893</v>
      </c>
      <c r="X13" s="4">
        <f>E21</f>
        <v>102.94216900000001</v>
      </c>
      <c r="Y13" s="1">
        <f>K20-L20</f>
        <v>579</v>
      </c>
      <c r="Z13" s="4">
        <f>M20/1000</f>
        <v>10.545999159999999</v>
      </c>
      <c r="AA13" s="4">
        <f>J20</f>
        <v>77.547448000000003</v>
      </c>
      <c r="AB13" s="4">
        <f>I20</f>
        <v>53.669414000000003</v>
      </c>
      <c r="AC13" s="4">
        <f>N20</f>
        <v>3.1546439999999998</v>
      </c>
      <c r="AD13" s="4">
        <f t="shared" si="3"/>
        <v>0.49438791611276289</v>
      </c>
      <c r="AE13" s="4">
        <f t="shared" si="4"/>
        <v>0.52868247143342706</v>
      </c>
      <c r="AF13" s="4">
        <f t="shared" si="5"/>
        <v>2.0042374092157842</v>
      </c>
      <c r="AG13" s="4">
        <f t="shared" si="6"/>
        <v>1.5219063054275055</v>
      </c>
      <c r="AH13" s="1">
        <f>V13-T13</f>
        <v>255</v>
      </c>
      <c r="AI13" s="3">
        <f t="shared" si="7"/>
        <v>0.57660380602137018</v>
      </c>
      <c r="AJ13" s="3">
        <f>(W13^0.05-X13^0.05)/(W13-X13)</f>
        <v>4.6554836964245221E-4</v>
      </c>
      <c r="AK13" s="3">
        <f>(W13^0.1-X13^0.1)/(W13-X13)</f>
        <v>1.1902650364591393E-3</v>
      </c>
      <c r="AL13" s="3">
        <f>(W13^0.3-X13^0.3)/(W13-X13)</f>
        <v>9.5418943207988619E-3</v>
      </c>
      <c r="AM13" s="3">
        <f>(W13^0.5-X13^0.5)/(W13-X13)</f>
        <v>4.2539389241874462E-2</v>
      </c>
      <c r="AN13" s="3">
        <f>(W13^0.7-X13^0.7)/(W13-X13)</f>
        <v>0.1594646235542494</v>
      </c>
      <c r="AO13" s="3">
        <f>W13^(0.9)*(1-AI13^0.9)</f>
        <v>41.53863615015554</v>
      </c>
      <c r="AP13" s="3">
        <f>W13^(1)*(1-AI13^1)</f>
        <v>75.589723999999975</v>
      </c>
      <c r="AQ13" s="3">
        <f>(W13^1.5-X13^1.5)/(W13-X13)</f>
        <v>17.740679724599037</v>
      </c>
      <c r="AR13" s="3">
        <f>W13^(2)*(1-AI13^2)</f>
        <v>21276.546659738884</v>
      </c>
      <c r="AS13" s="3"/>
      <c r="AT13" s="3"/>
    </row>
    <row r="14" spans="1:46" x14ac:dyDescent="0.25">
      <c r="A14" s="1">
        <v>0</v>
      </c>
      <c r="B14" s="1">
        <v>11</v>
      </c>
      <c r="C14" s="3">
        <v>-0.56769700000000001</v>
      </c>
      <c r="D14" s="3">
        <v>8.0033999999999994E-2</v>
      </c>
      <c r="E14" s="6">
        <v>135.229241</v>
      </c>
      <c r="F14" s="3">
        <v>0.45175599999999999</v>
      </c>
      <c r="G14" s="3">
        <v>132.296064</v>
      </c>
      <c r="H14" s="3">
        <v>2.4694310000000002</v>
      </c>
      <c r="I14" s="6">
        <v>5.3022080000000003</v>
      </c>
      <c r="J14" s="6">
        <v>31.35436</v>
      </c>
      <c r="K14" s="7">
        <v>1724</v>
      </c>
      <c r="L14" s="7">
        <v>746</v>
      </c>
      <c r="M14" s="6">
        <v>13360.053712999999</v>
      </c>
      <c r="N14" s="6">
        <v>7.1809409999999998</v>
      </c>
      <c r="O14" s="11">
        <v>12</v>
      </c>
      <c r="P14">
        <v>16</v>
      </c>
      <c r="Q14" s="1">
        <f t="shared" si="1"/>
        <v>1630</v>
      </c>
      <c r="R14" s="1">
        <f>U14-V14</f>
        <v>1229</v>
      </c>
      <c r="S14" s="3">
        <f t="shared" si="2"/>
        <v>0.75398773006134967</v>
      </c>
      <c r="T14" s="1">
        <f>L23</f>
        <v>430</v>
      </c>
      <c r="U14" s="1">
        <f>K24</f>
        <v>2060</v>
      </c>
      <c r="V14">
        <v>831</v>
      </c>
      <c r="W14" s="4">
        <f>E23</f>
        <v>179.73496800000001</v>
      </c>
      <c r="X14" s="4">
        <f>E24</f>
        <v>113.466448</v>
      </c>
      <c r="Y14" s="1">
        <f>K23-L23</f>
        <v>1017</v>
      </c>
      <c r="Z14" s="4">
        <f>M23/1000</f>
        <v>14.222131601999999</v>
      </c>
      <c r="AA14" s="4">
        <f>J23</f>
        <v>60.065069000000001</v>
      </c>
      <c r="AB14" s="4">
        <f>I23</f>
        <v>16.273944</v>
      </c>
      <c r="AC14" s="4">
        <f>N23</f>
        <v>5.4581480000000004</v>
      </c>
      <c r="AD14" s="4">
        <f t="shared" si="3"/>
        <v>0.87543563819883308</v>
      </c>
      <c r="AE14" s="4">
        <f t="shared" si="4"/>
        <v>0.97054575853949043</v>
      </c>
      <c r="AF14" s="4">
        <f t="shared" si="5"/>
        <v>2.0109790600600492</v>
      </c>
      <c r="AG14" s="4">
        <f t="shared" si="6"/>
        <v>1.5978094629836186</v>
      </c>
      <c r="AH14" s="1">
        <f>V14-T14</f>
        <v>401</v>
      </c>
      <c r="AI14" s="3">
        <f t="shared" si="7"/>
        <v>0.63129867973159237</v>
      </c>
      <c r="AJ14" s="3">
        <f>(W14^0.05-X14^0.05)/(W14-X14)</f>
        <v>4.4477989940519726E-4</v>
      </c>
      <c r="AK14" s="3">
        <f>(W14^0.1-X14^0.1)/(W14-X14)</f>
        <v>1.14009584527088E-3</v>
      </c>
      <c r="AL14" s="3">
        <f>(W14^0.3-X14^0.3)/(W14-X14)</f>
        <v>9.2324902621194159E-3</v>
      </c>
      <c r="AM14" s="3">
        <f>(W14^0.5-X14^0.5)/(W14-X14)</f>
        <v>4.1565195367416347E-2</v>
      </c>
      <c r="AN14" s="3">
        <f>(W14^0.7-X14^0.7)/(W14-X14)</f>
        <v>0.15729884765342519</v>
      </c>
      <c r="AO14" s="3">
        <f>W14^(0.9)*(1-AI14^0.9)</f>
        <v>36.253475690670882</v>
      </c>
      <c r="AP14" s="3">
        <f>W14^(1)*(1-AI14^1)</f>
        <v>66.268519999999995</v>
      </c>
      <c r="AQ14" s="3">
        <f>(W14^1.5-X14^1.5)/(W14-X14)</f>
        <v>18.122782145833789</v>
      </c>
      <c r="AR14" s="3">
        <f>W14^(2)*(1-AI14^2)</f>
        <v>19430.023900224322</v>
      </c>
      <c r="AS14" s="3"/>
      <c r="AT14" s="3"/>
    </row>
    <row r="15" spans="1:46" x14ac:dyDescent="0.25">
      <c r="A15" s="1">
        <v>0</v>
      </c>
      <c r="B15" s="1">
        <v>11</v>
      </c>
      <c r="C15" s="3">
        <v>-0.42175299999999999</v>
      </c>
      <c r="D15" s="3">
        <v>5.3121000000000002E-2</v>
      </c>
      <c r="E15" s="6">
        <v>73.901133000000002</v>
      </c>
      <c r="F15" s="3">
        <v>0.67076499999999994</v>
      </c>
      <c r="G15" s="3">
        <v>65.847515000000001</v>
      </c>
      <c r="H15" s="3">
        <v>2.8710800000000001</v>
      </c>
      <c r="I15" s="3">
        <v>0.14586399999999999</v>
      </c>
      <c r="J15" s="3">
        <v>5.3022080000000003</v>
      </c>
      <c r="K15" s="1">
        <v>2166</v>
      </c>
      <c r="L15" s="1">
        <v>1724</v>
      </c>
      <c r="M15" s="3">
        <v>17100.401494999998</v>
      </c>
      <c r="N15" s="3">
        <v>13.664529999999999</v>
      </c>
      <c r="O15" s="11">
        <v>13</v>
      </c>
      <c r="P15">
        <v>17</v>
      </c>
      <c r="Q15" s="1">
        <f t="shared" si="1"/>
        <v>938</v>
      </c>
      <c r="R15" s="1">
        <f>U15-V15</f>
        <v>786</v>
      </c>
      <c r="S15" s="3">
        <f t="shared" si="2"/>
        <v>0.83795309168443499</v>
      </c>
      <c r="T15" s="1">
        <f>L25</f>
        <v>458</v>
      </c>
      <c r="U15" s="1">
        <f>K26</f>
        <v>1396</v>
      </c>
      <c r="V15">
        <v>610</v>
      </c>
      <c r="W15" s="4">
        <f>E25</f>
        <v>187.10244299999999</v>
      </c>
      <c r="X15" s="4">
        <f>E26</f>
        <v>127.062116</v>
      </c>
      <c r="Y15" s="1">
        <f>K25-L25</f>
        <v>510</v>
      </c>
      <c r="Z15" s="4">
        <f>M25/1000</f>
        <v>4.4469775609999997</v>
      </c>
      <c r="AA15" s="4">
        <f>J25</f>
        <v>16.188768</v>
      </c>
      <c r="AB15" s="4">
        <f>I25</f>
        <v>10.759861000000001</v>
      </c>
      <c r="AC15" s="4">
        <f>N25</f>
        <v>2.711325</v>
      </c>
      <c r="AD15" s="4">
        <f t="shared" si="3"/>
        <v>0.45099678978882857</v>
      </c>
      <c r="AE15" s="4">
        <f t="shared" si="4"/>
        <v>0.42110695189526287</v>
      </c>
      <c r="AF15" s="4">
        <f t="shared" si="5"/>
        <v>2.0517809258056765</v>
      </c>
      <c r="AG15" s="4">
        <f t="shared" si="6"/>
        <v>1.6908274926792501</v>
      </c>
      <c r="AH15" s="1">
        <f>V15-T15</f>
        <v>152</v>
      </c>
      <c r="AI15" s="3">
        <f t="shared" si="7"/>
        <v>0.67910452671107024</v>
      </c>
      <c r="AJ15" s="3">
        <f>(W15^0.05-X15^0.05)/(W15-X15)</f>
        <v>4.1459578939993428E-4</v>
      </c>
      <c r="AK15" s="3">
        <f>(W15^0.1-X15^0.1)/(W15-X15)</f>
        <v>1.0667867063451912E-3</v>
      </c>
      <c r="AL15" s="3">
        <f>(W15^0.3-X15^0.3)/(W15-X15)</f>
        <v>8.7705164536876577E-3</v>
      </c>
      <c r="AM15" s="3">
        <f>(W15^0.5-X15^0.5)/(W15-X15)</f>
        <v>4.0078999250667699E-2</v>
      </c>
      <c r="AN15" s="3">
        <f>(W15^0.7-X15^0.7)/(W15-X15)</f>
        <v>0.15392325223933731</v>
      </c>
      <c r="AO15" s="3">
        <f>W15^(0.9)*(1-AI15^0.9)</f>
        <v>32.611221230838524</v>
      </c>
      <c r="AP15" s="3">
        <f>W15^(1)*(1-AI15^1)</f>
        <v>60.040326999999998</v>
      </c>
      <c r="AQ15" s="3">
        <f>(W15^1.5-X15^1.5)/(W15-X15)</f>
        <v>18.771061957323376</v>
      </c>
      <c r="AR15" s="3">
        <f>W15^(2)*(1-AI15^2)</f>
        <v>18862.542854170795</v>
      </c>
      <c r="AS15" s="3"/>
      <c r="AT15" s="3"/>
    </row>
    <row r="16" spans="1:46" x14ac:dyDescent="0.25">
      <c r="A16" s="1">
        <v>0</v>
      </c>
      <c r="B16" s="1">
        <v>12</v>
      </c>
      <c r="C16" s="3">
        <v>-0.91233699999999995</v>
      </c>
      <c r="D16" s="3">
        <v>0.132711</v>
      </c>
      <c r="E16" s="6">
        <v>132.754212</v>
      </c>
      <c r="F16" s="3">
        <v>0.90982099999999999</v>
      </c>
      <c r="G16" s="3">
        <v>123.711358</v>
      </c>
      <c r="H16" s="3">
        <v>3.9105439999999998</v>
      </c>
      <c r="I16" s="6">
        <v>19.421199000000001</v>
      </c>
      <c r="J16" s="6">
        <v>115.176087</v>
      </c>
      <c r="K16" s="7">
        <v>1339</v>
      </c>
      <c r="L16" s="7">
        <v>685</v>
      </c>
      <c r="M16" s="6">
        <v>14200.726489000001</v>
      </c>
      <c r="N16" s="6">
        <v>4.9772249999999998</v>
      </c>
      <c r="O16" s="11"/>
      <c r="Q16" s="1"/>
      <c r="R16" s="1"/>
      <c r="S16" s="3"/>
      <c r="T16" s="1"/>
      <c r="W16" s="4"/>
      <c r="X16" s="4"/>
      <c r="Y16" s="5"/>
      <c r="Z16" s="4"/>
      <c r="AA16" s="4"/>
      <c r="AB16" s="4"/>
      <c r="AC16" s="4"/>
      <c r="AD16" s="4"/>
      <c r="AE16" s="4"/>
      <c r="AF16" s="4"/>
      <c r="AG16" s="4"/>
      <c r="AH16" s="1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">
        <v>0</v>
      </c>
      <c r="B17" s="1">
        <v>12</v>
      </c>
      <c r="C17" s="3">
        <v>-0.39019700000000002</v>
      </c>
      <c r="D17" s="3">
        <v>7.3511000000000007E-2</v>
      </c>
      <c r="E17" s="6">
        <v>85.090459999999993</v>
      </c>
      <c r="F17" s="3">
        <v>0.95614900000000003</v>
      </c>
      <c r="G17" s="3">
        <v>70.037111999999993</v>
      </c>
      <c r="H17" s="3">
        <v>3.8331400000000002</v>
      </c>
      <c r="I17" s="3">
        <v>0.58665</v>
      </c>
      <c r="J17" s="3">
        <v>19.421199000000001</v>
      </c>
      <c r="K17" s="1">
        <v>1863</v>
      </c>
      <c r="L17" s="1">
        <v>1339</v>
      </c>
      <c r="M17" s="3">
        <v>19991.331729000001</v>
      </c>
      <c r="N17" s="3">
        <v>11.50567</v>
      </c>
      <c r="O17" s="11">
        <v>15</v>
      </c>
      <c r="P17">
        <v>19</v>
      </c>
      <c r="Q17" s="1">
        <f t="shared" si="1"/>
        <v>1575</v>
      </c>
      <c r="R17" s="1">
        <f t="shared" ref="R17:R22" si="8">U17-V17</f>
        <v>912</v>
      </c>
      <c r="S17" s="3">
        <f t="shared" si="2"/>
        <v>0.57904761904761903</v>
      </c>
      <c r="T17" s="1">
        <f>L28</f>
        <v>376</v>
      </c>
      <c r="U17" s="1">
        <f>K30</f>
        <v>1951</v>
      </c>
      <c r="V17">
        <v>1039</v>
      </c>
      <c r="W17" s="8">
        <v>297</v>
      </c>
      <c r="X17" s="4">
        <v>63</v>
      </c>
      <c r="Y17" s="1">
        <f>K29-L28</f>
        <v>860</v>
      </c>
      <c r="Z17" s="4">
        <f>M29/1000</f>
        <v>13.080938866</v>
      </c>
      <c r="AA17" s="4">
        <f>J28</f>
        <v>122.81957</v>
      </c>
      <c r="AB17" s="4">
        <f>I29</f>
        <v>93.935315000000003</v>
      </c>
      <c r="AC17" s="4">
        <f>N29</f>
        <v>3.1459820000000001</v>
      </c>
      <c r="AD17" s="4">
        <f t="shared" si="3"/>
        <v>0.52791553369933197</v>
      </c>
      <c r="AE17" s="4">
        <f t="shared" si="4"/>
        <v>0.47545112426414854</v>
      </c>
      <c r="AF17" s="4">
        <f t="shared" si="5"/>
        <v>2.5850531909421126</v>
      </c>
      <c r="AG17" s="4">
        <f t="shared" si="6"/>
        <v>1.1905880899790657</v>
      </c>
      <c r="AH17" s="1">
        <f t="shared" ref="AH17:AH22" si="9">V17-T17</f>
        <v>663</v>
      </c>
      <c r="AI17" s="3">
        <f t="shared" si="7"/>
        <v>0.21212121212121213</v>
      </c>
      <c r="AJ17" s="3">
        <f t="shared" ref="AJ17:AJ22" si="10">(W17^0.05-X17^0.05)/(W17-X17)</f>
        <v>4.238033563853205E-4</v>
      </c>
      <c r="AK17" s="3">
        <f t="shared" ref="AK17:AK22" si="11">(W17^0.1-X17^0.1)/(W17-X17)</f>
        <v>1.0847334740166177E-3</v>
      </c>
      <c r="AL17" s="3">
        <f t="shared" ref="AL17:AL22" si="12">(W17^0.3-X17^0.3)/(W17-X17)</f>
        <v>8.772587398268434E-3</v>
      </c>
      <c r="AM17" s="3">
        <f t="shared" ref="AM17:AM22" si="13">(W17^0.5-X17^0.5)/(W17-X17)</f>
        <v>3.9728350454787661E-2</v>
      </c>
      <c r="AN17" s="3">
        <f t="shared" ref="AN17:AN22" si="14">(W17^0.7-X17^0.7)/(W17-X17)</f>
        <v>0.15231011026900682</v>
      </c>
      <c r="AO17" s="3">
        <f t="shared" ref="AO17:AO22" si="15">W17^(0.9)*(1-AI17^0.9)</f>
        <v>126.43635593576099</v>
      </c>
      <c r="AP17" s="3">
        <f t="shared" ref="AP17:AP22" si="16">W17^(1)*(1-AI17^1)</f>
        <v>234</v>
      </c>
      <c r="AQ17" s="3">
        <f t="shared" ref="AQ17:AQ22" si="17">(W17^1.5-X17^1.5)/(W17-X17)</f>
        <v>19.736574018265696</v>
      </c>
      <c r="AR17" s="3">
        <f t="shared" ref="AR17:AR22" si="18">W17^(2)*(1-AI17^2)</f>
        <v>84240</v>
      </c>
      <c r="AS17" s="3"/>
      <c r="AT17" s="3"/>
    </row>
    <row r="18" spans="1:46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1"/>
      <c r="L18" s="1"/>
      <c r="M18" s="3"/>
      <c r="N18" s="3"/>
      <c r="O18" s="11">
        <v>16</v>
      </c>
      <c r="P18">
        <v>20</v>
      </c>
      <c r="Q18" s="1">
        <f t="shared" si="1"/>
        <v>1282</v>
      </c>
      <c r="R18" s="1">
        <f t="shared" si="8"/>
        <v>1114</v>
      </c>
      <c r="S18" s="3">
        <f t="shared" si="2"/>
        <v>0.86895475819032764</v>
      </c>
      <c r="T18" s="1">
        <f>L31</f>
        <v>426</v>
      </c>
      <c r="U18" s="1">
        <f>K32</f>
        <v>1708</v>
      </c>
      <c r="V18">
        <v>594</v>
      </c>
      <c r="W18" s="4">
        <f>E31</f>
        <v>148.71703199999999</v>
      </c>
      <c r="X18" s="4">
        <f>E32</f>
        <v>117.090322</v>
      </c>
      <c r="Y18" s="1">
        <f>K31-L31</f>
        <v>941</v>
      </c>
      <c r="Z18" s="4">
        <f>M31/1000</f>
        <v>10.81702183</v>
      </c>
      <c r="AA18" s="4">
        <f>J31</f>
        <v>29.975573000000001</v>
      </c>
      <c r="AB18" s="4">
        <f>I31</f>
        <v>3.160031</v>
      </c>
      <c r="AC18" s="4">
        <f>N31</f>
        <v>5.9526529999999998</v>
      </c>
      <c r="AD18" s="4">
        <f t="shared" si="3"/>
        <v>0.91336664114764343</v>
      </c>
      <c r="AE18" s="4">
        <f t="shared" si="4"/>
        <v>0.8150604959091815</v>
      </c>
      <c r="AF18" s="4">
        <f t="shared" si="5"/>
        <v>1.8292438929787356</v>
      </c>
      <c r="AG18" s="4">
        <f t="shared" si="6"/>
        <v>1.623124223526961</v>
      </c>
      <c r="AH18" s="1">
        <f t="shared" si="9"/>
        <v>168</v>
      </c>
      <c r="AI18" s="3">
        <f t="shared" si="7"/>
        <v>0.78733632876697013</v>
      </c>
      <c r="AJ18" s="3">
        <f t="shared" si="10"/>
        <v>4.8252494371185466E-4</v>
      </c>
      <c r="AK18" s="3">
        <f t="shared" si="11"/>
        <v>1.2319116601265839E-3</v>
      </c>
      <c r="AL18" s="3">
        <f t="shared" si="12"/>
        <v>9.8145806424712791E-3</v>
      </c>
      <c r="AM18" s="3">
        <f t="shared" si="13"/>
        <v>4.3448437402388615E-2</v>
      </c>
      <c r="AN18" s="3">
        <f t="shared" si="14"/>
        <v>0.16159896004844806</v>
      </c>
      <c r="AO18" s="3">
        <f t="shared" si="15"/>
        <v>17.460474998928202</v>
      </c>
      <c r="AP18" s="3">
        <f t="shared" si="16"/>
        <v>31.626709999999981</v>
      </c>
      <c r="AQ18" s="3">
        <f t="shared" si="17"/>
        <v>17.282350812367383</v>
      </c>
      <c r="AR18" s="3">
        <f t="shared" si="18"/>
        <v>8406.612100825334</v>
      </c>
      <c r="AS18" s="3"/>
      <c r="AT18" s="3"/>
    </row>
    <row r="19" spans="1:46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1"/>
      <c r="L19" s="1"/>
      <c r="M19" s="3"/>
      <c r="N19" s="3"/>
      <c r="O19" s="11">
        <v>17</v>
      </c>
      <c r="P19">
        <v>21</v>
      </c>
      <c r="Q19" s="1">
        <f t="shared" si="1"/>
        <v>1471</v>
      </c>
      <c r="R19" s="1">
        <f t="shared" si="8"/>
        <v>1019</v>
      </c>
      <c r="S19" s="3">
        <f t="shared" si="2"/>
        <v>0.69272603670972133</v>
      </c>
      <c r="T19" s="1">
        <f>L33</f>
        <v>420</v>
      </c>
      <c r="U19" s="1">
        <f>K35</f>
        <v>1891</v>
      </c>
      <c r="V19">
        <v>872</v>
      </c>
      <c r="W19" s="8">
        <f>E33</f>
        <v>393.13236599999999</v>
      </c>
      <c r="X19" s="4">
        <f>E34</f>
        <v>78.848259999999996</v>
      </c>
      <c r="Y19" s="1">
        <f>K33-L33</f>
        <v>662</v>
      </c>
      <c r="Z19" s="4">
        <f>M33/1000</f>
        <v>4.6315314040000004</v>
      </c>
      <c r="AA19" s="4">
        <f>J33</f>
        <v>38.873272999999998</v>
      </c>
      <c r="AB19" s="4">
        <f>I33</f>
        <v>33.153703</v>
      </c>
      <c r="AC19" s="4">
        <f>N33</f>
        <v>1.8301559999999999</v>
      </c>
      <c r="AD19" s="4">
        <f t="shared" si="3"/>
        <v>0.35025794053140574</v>
      </c>
      <c r="AE19" s="4">
        <f t="shared" si="4"/>
        <v>0.27524275499280215</v>
      </c>
      <c r="AF19" s="4">
        <f t="shared" si="5"/>
        <v>2.9741348716895808</v>
      </c>
      <c r="AG19" s="4">
        <f t="shared" si="6"/>
        <v>1.3319481408823692</v>
      </c>
      <c r="AH19" s="1">
        <f t="shared" si="9"/>
        <v>452</v>
      </c>
      <c r="AI19" s="3">
        <f t="shared" si="7"/>
        <v>0.20056415299064945</v>
      </c>
      <c r="AJ19" s="3">
        <f t="shared" si="10"/>
        <v>3.3110146027199281E-4</v>
      </c>
      <c r="AK19" s="3">
        <f t="shared" si="11"/>
        <v>8.5827129465907391E-4</v>
      </c>
      <c r="AL19" s="3">
        <f t="shared" si="12"/>
        <v>7.3047884140188968E-3</v>
      </c>
      <c r="AM19" s="3">
        <f t="shared" si="13"/>
        <v>3.4834442244160907E-2</v>
      </c>
      <c r="AN19" s="3">
        <f t="shared" si="14"/>
        <v>0.14070378841341591</v>
      </c>
      <c r="AO19" s="3">
        <f t="shared" si="15"/>
        <v>165.36781560597646</v>
      </c>
      <c r="AP19" s="3">
        <f t="shared" si="16"/>
        <v>314.28410600000001</v>
      </c>
      <c r="AQ19" s="3">
        <f t="shared" si="17"/>
        <v>22.574200970286459</v>
      </c>
      <c r="AR19" s="3">
        <f t="shared" si="18"/>
        <v>148336.00909173038</v>
      </c>
      <c r="AS19" s="3"/>
      <c r="AT19" s="3"/>
    </row>
    <row r="20" spans="1:46" x14ac:dyDescent="0.25">
      <c r="A20" s="1">
        <v>0</v>
      </c>
      <c r="B20" s="1">
        <v>15</v>
      </c>
      <c r="C20" s="3">
        <v>-0.46448099999999998</v>
      </c>
      <c r="D20" s="3">
        <v>0.48137200000000002</v>
      </c>
      <c r="E20" s="6">
        <v>178.531893</v>
      </c>
      <c r="F20" s="3">
        <v>1.1620969999999999</v>
      </c>
      <c r="G20" s="3">
        <v>167.557344</v>
      </c>
      <c r="H20" s="3">
        <v>5.0075120000000002</v>
      </c>
      <c r="I20" s="6">
        <v>53.669414000000003</v>
      </c>
      <c r="J20" s="6">
        <v>77.547448000000003</v>
      </c>
      <c r="K20" s="7">
        <v>1055</v>
      </c>
      <c r="L20" s="7">
        <v>476</v>
      </c>
      <c r="M20" s="6">
        <v>10545.999159999999</v>
      </c>
      <c r="N20" s="6">
        <v>3.1546439999999998</v>
      </c>
      <c r="O20" s="11">
        <v>18</v>
      </c>
      <c r="P20">
        <v>22</v>
      </c>
      <c r="Q20" s="1">
        <f t="shared" si="1"/>
        <v>1360</v>
      </c>
      <c r="R20" s="1">
        <f t="shared" si="8"/>
        <v>1057</v>
      </c>
      <c r="S20" s="3">
        <f t="shared" si="2"/>
        <v>0.77720588235294119</v>
      </c>
      <c r="T20" s="1">
        <f>L36</f>
        <v>432</v>
      </c>
      <c r="U20" s="1">
        <f>K37</f>
        <v>1792</v>
      </c>
      <c r="V20">
        <v>735</v>
      </c>
      <c r="W20" s="9">
        <f>E36</f>
        <v>314.63161200000002</v>
      </c>
      <c r="X20" s="3">
        <f>E37</f>
        <v>126.44382400000001</v>
      </c>
      <c r="Y20" s="1">
        <f>K36-L36</f>
        <v>598</v>
      </c>
      <c r="Z20" s="4">
        <f>M36/1000</f>
        <v>4.6438001880000002</v>
      </c>
      <c r="AA20" s="3">
        <f>J36</f>
        <v>37.528556999999999</v>
      </c>
      <c r="AB20" s="3">
        <f>I36</f>
        <v>28.845925999999999</v>
      </c>
      <c r="AC20" s="3">
        <f>N36</f>
        <v>1.906304</v>
      </c>
      <c r="AD20" s="4">
        <f t="shared" si="3"/>
        <v>0.36833075212537242</v>
      </c>
      <c r="AE20" s="4">
        <f t="shared" si="4"/>
        <v>0.31109785142326241</v>
      </c>
      <c r="AF20" s="4">
        <f t="shared" si="5"/>
        <v>2.6606787235590845</v>
      </c>
      <c r="AG20" s="4">
        <f t="shared" si="6"/>
        <v>1.6867086411114398</v>
      </c>
      <c r="AH20" s="1">
        <f t="shared" si="9"/>
        <v>303</v>
      </c>
      <c r="AI20" s="3">
        <f t="shared" si="7"/>
        <v>0.40187895677818919</v>
      </c>
      <c r="AJ20" s="3">
        <f t="shared" si="10"/>
        <v>3.1565672297560082E-4</v>
      </c>
      <c r="AK20" s="3">
        <f t="shared" si="11"/>
        <v>8.2290615892722033E-4</v>
      </c>
      <c r="AL20" s="3">
        <f t="shared" si="12"/>
        <v>7.1391048652362839E-3</v>
      </c>
      <c r="AM20" s="3">
        <f t="shared" si="13"/>
        <v>3.4503481612655436E-2</v>
      </c>
      <c r="AN20" s="3">
        <f t="shared" si="14"/>
        <v>0.14045968241234408</v>
      </c>
      <c r="AO20" s="3">
        <f t="shared" si="15"/>
        <v>99.08934052665046</v>
      </c>
      <c r="AP20" s="3">
        <f t="shared" si="16"/>
        <v>188.18778800000001</v>
      </c>
      <c r="AQ20" s="3">
        <f t="shared" si="17"/>
        <v>22.100610313478381</v>
      </c>
      <c r="AR20" s="3">
        <f t="shared" si="18"/>
        <v>83005.01064197559</v>
      </c>
      <c r="AS20" s="3"/>
      <c r="AT20" s="3"/>
    </row>
    <row r="21" spans="1:46" x14ac:dyDescent="0.25">
      <c r="A21" s="1">
        <v>0</v>
      </c>
      <c r="B21" s="1">
        <v>15</v>
      </c>
      <c r="C21" s="3">
        <v>-0.49384899999999998</v>
      </c>
      <c r="D21" s="3">
        <v>8.8467000000000004E-2</v>
      </c>
      <c r="E21" s="6">
        <v>102.94216900000001</v>
      </c>
      <c r="F21" s="3">
        <v>0.56467100000000003</v>
      </c>
      <c r="G21" s="3">
        <v>101.466961</v>
      </c>
      <c r="H21" s="3">
        <v>2.2501799999999998</v>
      </c>
      <c r="I21" s="3">
        <v>9.1329989999999999</v>
      </c>
      <c r="J21" s="3">
        <v>53.669414000000003</v>
      </c>
      <c r="K21" s="1">
        <v>1466</v>
      </c>
      <c r="L21" s="1">
        <v>1055</v>
      </c>
      <c r="M21" s="3">
        <v>19013.67928</v>
      </c>
      <c r="N21" s="3">
        <v>6.9742110000000004</v>
      </c>
      <c r="O21" s="11">
        <v>19</v>
      </c>
      <c r="P21">
        <v>23</v>
      </c>
      <c r="Q21" s="1">
        <f t="shared" si="1"/>
        <v>1001</v>
      </c>
      <c r="R21" s="1">
        <f t="shared" si="8"/>
        <v>806</v>
      </c>
      <c r="S21" s="3">
        <f t="shared" si="2"/>
        <v>0.80519480519480524</v>
      </c>
      <c r="T21" s="1">
        <f>L38</f>
        <v>480</v>
      </c>
      <c r="U21" s="1">
        <f>K39</f>
        <v>1481</v>
      </c>
      <c r="V21">
        <v>675</v>
      </c>
      <c r="W21" s="3">
        <f>E38</f>
        <v>144.52812900000001</v>
      </c>
      <c r="X21" s="3">
        <f>E39</f>
        <v>96.578396999999995</v>
      </c>
      <c r="Y21" s="1">
        <f>K38-L38</f>
        <v>576</v>
      </c>
      <c r="Z21" s="4">
        <f>M38/1000</f>
        <v>5.8907785610000003</v>
      </c>
      <c r="AA21" s="3">
        <f>J38</f>
        <v>15.717105999999999</v>
      </c>
      <c r="AB21" s="3">
        <f>I38</f>
        <v>5.3565069999999997</v>
      </c>
      <c r="AC21" s="3">
        <f>N38</f>
        <v>3.9051490000000002</v>
      </c>
      <c r="AD21" s="4">
        <f t="shared" si="3"/>
        <v>0.5688348356953028</v>
      </c>
      <c r="AE21" s="4">
        <f t="shared" si="4"/>
        <v>0.59237538394653855</v>
      </c>
      <c r="AF21" s="4">
        <f t="shared" si="5"/>
        <v>1.8032977853089047</v>
      </c>
      <c r="AG21" s="4">
        <f t="shared" si="6"/>
        <v>1.4741146266488234</v>
      </c>
      <c r="AH21" s="1">
        <f t="shared" si="9"/>
        <v>195</v>
      </c>
      <c r="AI21" s="3">
        <f t="shared" si="7"/>
        <v>0.6682325279392497</v>
      </c>
      <c r="AJ21" s="3">
        <f t="shared" si="10"/>
        <v>5.336362514600908E-4</v>
      </c>
      <c r="AK21" s="3">
        <f t="shared" si="11"/>
        <v>1.3549341349124952E-3</v>
      </c>
      <c r="AL21" s="3">
        <f t="shared" si="12"/>
        <v>1.056228530587887E-2</v>
      </c>
      <c r="AM21" s="3">
        <f t="shared" si="13"/>
        <v>4.5767813489910818E-2</v>
      </c>
      <c r="AN21" s="3">
        <f t="shared" si="14"/>
        <v>0.16667730967997255</v>
      </c>
      <c r="AO21" s="3">
        <f t="shared" si="15"/>
        <v>26.744206735111625</v>
      </c>
      <c r="AP21" s="3">
        <f t="shared" si="16"/>
        <v>47.949732000000019</v>
      </c>
      <c r="AQ21" s="3">
        <f t="shared" si="17"/>
        <v>16.442167296443248</v>
      </c>
      <c r="AR21" s="3">
        <f t="shared" si="18"/>
        <v>11560.993305151034</v>
      </c>
      <c r="AS21" s="3"/>
      <c r="AT21" s="3"/>
    </row>
    <row r="22" spans="1:46" x14ac:dyDescent="0.25">
      <c r="A22" s="1">
        <v>0</v>
      </c>
      <c r="B22" s="1">
        <v>15</v>
      </c>
      <c r="C22" s="3">
        <v>-0.37099199999999999</v>
      </c>
      <c r="D22" s="3">
        <v>6.2480000000000001E-2</v>
      </c>
      <c r="E22" s="3">
        <v>74.363919999999993</v>
      </c>
      <c r="F22" s="3">
        <v>0.48547299999999999</v>
      </c>
      <c r="G22" s="3">
        <v>73.458701000000005</v>
      </c>
      <c r="H22" s="3">
        <v>0.99845099999999998</v>
      </c>
      <c r="I22" s="3">
        <v>0.38968000000000003</v>
      </c>
      <c r="J22" s="3">
        <v>9.1329989999999999</v>
      </c>
      <c r="K22" s="1">
        <v>1799</v>
      </c>
      <c r="L22" s="1">
        <v>1466</v>
      </c>
      <c r="M22" s="3">
        <v>22906.995310999999</v>
      </c>
      <c r="N22" s="3">
        <v>11.712540000000001</v>
      </c>
      <c r="O22" s="11">
        <v>20</v>
      </c>
      <c r="P22">
        <v>24</v>
      </c>
      <c r="Q22" s="1">
        <f t="shared" si="1"/>
        <v>1095</v>
      </c>
      <c r="R22" s="1">
        <f t="shared" si="8"/>
        <v>1012</v>
      </c>
      <c r="S22" s="3">
        <f t="shared" si="2"/>
        <v>0.92420091324200915</v>
      </c>
      <c r="T22" s="1">
        <f>L40</f>
        <v>753</v>
      </c>
      <c r="U22" s="1">
        <f>K41</f>
        <v>1848</v>
      </c>
      <c r="V22">
        <v>836</v>
      </c>
      <c r="W22" s="3">
        <f>E40</f>
        <v>133.25202999999999</v>
      </c>
      <c r="X22" s="3">
        <f>E41</f>
        <v>107.03658799999999</v>
      </c>
      <c r="Y22" s="1">
        <f>K40-L40</f>
        <v>324</v>
      </c>
      <c r="Z22" s="4">
        <f>M40/1000</f>
        <v>5.09957248</v>
      </c>
      <c r="AA22" s="3">
        <f>J40</f>
        <v>28.26247</v>
      </c>
      <c r="AB22" s="3">
        <f>I40</f>
        <v>20.193106</v>
      </c>
      <c r="AC22" s="3">
        <f>N40</f>
        <v>2.374952</v>
      </c>
      <c r="AD22" s="4">
        <f t="shared" si="3"/>
        <v>0.34657410344285011</v>
      </c>
      <c r="AE22" s="4">
        <f t="shared" si="4"/>
        <v>0.46202149367086731</v>
      </c>
      <c r="AF22" s="4">
        <f t="shared" si="5"/>
        <v>1.7315226464011377</v>
      </c>
      <c r="AG22" s="4">
        <f t="shared" si="6"/>
        <v>1.5518773244042197</v>
      </c>
      <c r="AH22" s="1">
        <f t="shared" si="9"/>
        <v>83</v>
      </c>
      <c r="AI22" s="3">
        <f>X22/W22</f>
        <v>0.80326422044001888</v>
      </c>
      <c r="AJ22" s="3">
        <f t="shared" si="10"/>
        <v>5.3070866541930848E-4</v>
      </c>
      <c r="AK22" s="3">
        <f t="shared" si="11"/>
        <v>1.3481798756958994E-3</v>
      </c>
      <c r="AL22" s="3">
        <f t="shared" si="12"/>
        <v>1.0528322440500804E-2</v>
      </c>
      <c r="AM22" s="3">
        <f t="shared" si="13"/>
        <v>4.5684351992976269E-2</v>
      </c>
      <c r="AN22" s="3">
        <f t="shared" si="14"/>
        <v>0.16654227016387055</v>
      </c>
      <c r="AO22" s="3">
        <f t="shared" si="15"/>
        <v>14.619230143805531</v>
      </c>
      <c r="AP22" s="3">
        <f t="shared" si="16"/>
        <v>26.215441999999989</v>
      </c>
      <c r="AQ22" s="3">
        <f t="shared" si="17"/>
        <v>16.433381471660159</v>
      </c>
      <c r="AR22" s="3">
        <f t="shared" si="18"/>
        <v>6299.2723284391541</v>
      </c>
      <c r="AS22" s="3"/>
      <c r="AT22" s="3"/>
    </row>
    <row r="23" spans="1:46" x14ac:dyDescent="0.25">
      <c r="A23" s="1">
        <v>0</v>
      </c>
      <c r="B23" s="1">
        <v>16</v>
      </c>
      <c r="C23" s="3">
        <v>-0.24456</v>
      </c>
      <c r="D23" s="3">
        <v>0.15523600000000001</v>
      </c>
      <c r="E23" s="6">
        <v>179.73496800000001</v>
      </c>
      <c r="F23" s="3">
        <v>0.98733099999999996</v>
      </c>
      <c r="G23" s="3">
        <v>168.456343</v>
      </c>
      <c r="H23" s="3">
        <v>3.973465</v>
      </c>
      <c r="I23" s="6">
        <v>16.273944</v>
      </c>
      <c r="J23" s="6">
        <v>60.065069000000001</v>
      </c>
      <c r="K23" s="7">
        <v>1447</v>
      </c>
      <c r="L23" s="7">
        <v>430</v>
      </c>
      <c r="M23" s="6">
        <v>14222.131601999999</v>
      </c>
      <c r="N23" s="6">
        <v>5.4581480000000004</v>
      </c>
      <c r="Q23" s="1">
        <f>AVERAGE(Q12:Q21)</f>
        <v>1322.5</v>
      </c>
      <c r="R23" s="1">
        <f>AVERAGE(R12:R21)</f>
        <v>998.875</v>
      </c>
      <c r="S23" s="3">
        <f>AVERAGE(S2:S21)</f>
        <v>0.74258798223303357</v>
      </c>
      <c r="T23" s="1"/>
      <c r="U23" s="1"/>
      <c r="V23" s="1">
        <f t="shared" ref="V23" si="19">AVERAGE(V2:V22)</f>
        <v>853.13333333333333</v>
      </c>
      <c r="W23" s="10"/>
      <c r="X23" t="s">
        <v>46</v>
      </c>
      <c r="Y23" s="4">
        <f>AVERAGE(Y2:Y22)</f>
        <v>633.06666666666672</v>
      </c>
      <c r="Z23" s="4"/>
      <c r="AA23" s="4"/>
      <c r="AB23" s="4"/>
      <c r="AC23" s="3">
        <f>CORREL(AC2:AC22,W2:W22)</f>
        <v>-0.5671324075441988</v>
      </c>
      <c r="AD23" s="12">
        <f>AVERAGE(AD2:AD22)</f>
        <v>0.55102551997531568</v>
      </c>
      <c r="AE23" s="12">
        <f>AVERAGE(AE13:AE21)</f>
        <v>0.5486953490505142</v>
      </c>
      <c r="AF23" s="12">
        <f>AVERAGE(AF2:AF10)</f>
        <v>1.8337657553900979</v>
      </c>
      <c r="AG23" s="12">
        <f>AVERAGE(AG13:AG21)</f>
        <v>1.5146283729048791</v>
      </c>
      <c r="AH23" s="10">
        <f>CORREL(W2:W22,AH2:AH22)</f>
        <v>0.54471941173346627</v>
      </c>
      <c r="AI23" s="10">
        <f>CORREL(AH2:AH22,AI2:AI22)</f>
        <v>-0.70753120959666183</v>
      </c>
      <c r="AJ23" s="10">
        <f>CORREL(AH2:AH22,AJ2:AJ22)</f>
        <v>-0.17586867761045663</v>
      </c>
      <c r="AK23" s="10">
        <f>CORREL(AH2:AH22,AK2:AK22)</f>
        <v>-0.18157429438507244</v>
      </c>
      <c r="AL23" s="10">
        <f>CORREL(AH2:AH22,AL2:AL22)</f>
        <v>-0.20463341650210246</v>
      </c>
      <c r="AM23" s="10">
        <f>CORREL(AH2:AH22,AM2:AM22)</f>
        <v>-0.2278667855154505</v>
      </c>
      <c r="AN23" s="10">
        <f>CORREL(AH2:AH22,AN2:AN22)</f>
        <v>-0.25098767860380522</v>
      </c>
      <c r="AO23" s="10">
        <f>CORREL(AH2:AH22,AO2:AO22)</f>
        <v>0.60747820232116334</v>
      </c>
      <c r="AP23" s="10">
        <f>CORREL(AH2:AH22,AP2:AP22)</f>
        <v>0.60505927935270098</v>
      </c>
      <c r="AQ23" s="10">
        <f>CORREL(AH2:AH22,AQ2:AQ22)</f>
        <v>0.33663258670175111</v>
      </c>
      <c r="AR23" s="10">
        <f>CORREL(AH2:AH22,AR2:AR22)</f>
        <v>0.56784178690124565</v>
      </c>
    </row>
    <row r="24" spans="1:46" x14ac:dyDescent="0.25">
      <c r="A24" s="1">
        <v>0</v>
      </c>
      <c r="B24" s="1">
        <v>16</v>
      </c>
      <c r="C24" s="3">
        <v>-0.29419800000000002</v>
      </c>
      <c r="D24" s="3">
        <v>7.3439000000000004E-2</v>
      </c>
      <c r="E24" s="6">
        <v>113.466448</v>
      </c>
      <c r="F24" s="3">
        <v>0.59498799999999996</v>
      </c>
      <c r="G24" s="3">
        <v>108.543746</v>
      </c>
      <c r="H24" s="3">
        <v>2.007552</v>
      </c>
      <c r="I24" s="3">
        <v>1.041277</v>
      </c>
      <c r="J24" s="3">
        <v>16.273944</v>
      </c>
      <c r="K24" s="1">
        <v>2060</v>
      </c>
      <c r="L24" s="1">
        <v>1447</v>
      </c>
      <c r="M24" s="3">
        <v>20148.868143</v>
      </c>
      <c r="N24" s="3">
        <v>10.943675000000001</v>
      </c>
      <c r="Q24" s="1">
        <f>STDEVA(Q12:Q21)</f>
        <v>249.17406423164167</v>
      </c>
      <c r="R24" s="1">
        <f>STDEVA(R12:R21)</f>
        <v>153.45398333050855</v>
      </c>
      <c r="S24" s="3">
        <f>STDEVA(S2:S22)</f>
        <v>9.308365171443482E-2</v>
      </c>
      <c r="T24" s="1"/>
      <c r="U24" s="1"/>
      <c r="V24" s="1">
        <f t="shared" ref="V24" si="20">STDEVA(V2:V22)</f>
        <v>166.79536935447331</v>
      </c>
      <c r="W24" s="10"/>
      <c r="X24" t="s">
        <v>47</v>
      </c>
      <c r="Y24" s="4">
        <f>STDEVA(Y2:Y22)</f>
        <v>238.52806563429411</v>
      </c>
      <c r="Z24" s="3"/>
      <c r="AA24" s="3"/>
      <c r="AB24" s="3"/>
      <c r="AC24" s="3">
        <f>STDEVA(AI2:AI22)</f>
        <v>0.23075867582718651</v>
      </c>
      <c r="AD24" s="12">
        <f>STDEVA(AD2:AD22)</f>
        <v>0.25196549988431638</v>
      </c>
      <c r="AE24" s="12">
        <f>STDEVA(AE13:AE21)</f>
        <v>0.24026444591470936</v>
      </c>
      <c r="AF24" s="12">
        <f>STDEVA(AF2:AF10)</f>
        <v>0.29662726734118489</v>
      </c>
      <c r="AG24" s="12">
        <f>STDEVA(AG13:AG21)</f>
        <v>0.17704587619038439</v>
      </c>
      <c r="AH24">
        <f>CORREL(AH2:AH22,AI2:AI22)</f>
        <v>-0.70753120959666183</v>
      </c>
      <c r="AI24" s="3"/>
    </row>
    <row r="25" spans="1:46" x14ac:dyDescent="0.25">
      <c r="A25" s="1">
        <v>0</v>
      </c>
      <c r="B25" s="1">
        <v>17</v>
      </c>
      <c r="C25" s="3">
        <v>-2.1109680000000002</v>
      </c>
      <c r="D25" s="3">
        <v>0.44105699999999998</v>
      </c>
      <c r="E25" s="3">
        <v>187.10244299999999</v>
      </c>
      <c r="F25" s="3">
        <v>1.7286710000000001</v>
      </c>
      <c r="G25" s="3">
        <v>188.94818100000001</v>
      </c>
      <c r="H25" s="3">
        <v>8.0341799999999992</v>
      </c>
      <c r="I25" s="6">
        <v>10.759861000000001</v>
      </c>
      <c r="J25" s="6">
        <v>16.188768</v>
      </c>
      <c r="K25" s="7">
        <v>968</v>
      </c>
      <c r="L25" s="7">
        <v>458</v>
      </c>
      <c r="M25" s="6">
        <v>4446.9775609999997</v>
      </c>
      <c r="N25" s="6">
        <v>2.711325</v>
      </c>
      <c r="Y25" s="4"/>
      <c r="AC25">
        <f>CORREL(AI2:AI22,AC2:AC22)</f>
        <v>0.41825323994666619</v>
      </c>
      <c r="AH25">
        <f>CORREL(AH2:AH22,X2:X22)</f>
        <v>-0.42701174803899777</v>
      </c>
    </row>
    <row r="26" spans="1:46" x14ac:dyDescent="0.25">
      <c r="A26" s="1">
        <v>0</v>
      </c>
      <c r="B26" s="1">
        <v>17</v>
      </c>
      <c r="C26" s="3">
        <v>-0.59193399999999996</v>
      </c>
      <c r="D26" s="3">
        <v>0.34674899999999997</v>
      </c>
      <c r="E26" s="3">
        <v>127.062116</v>
      </c>
      <c r="F26" s="3">
        <v>1.6199030000000001</v>
      </c>
      <c r="G26" s="3">
        <v>127.053225</v>
      </c>
      <c r="H26" s="3">
        <v>2.8647420000000001</v>
      </c>
      <c r="I26" s="3">
        <v>3.5954929999999998</v>
      </c>
      <c r="J26" s="3">
        <v>10.759861000000001</v>
      </c>
      <c r="K26" s="1">
        <v>1396</v>
      </c>
      <c r="L26" s="1">
        <v>968</v>
      </c>
      <c r="M26" s="3">
        <v>8594.6750909999992</v>
      </c>
      <c r="N26" s="3">
        <v>6.1522829999999997</v>
      </c>
      <c r="W26" s="3"/>
      <c r="X26" s="3"/>
      <c r="Y26" s="3"/>
      <c r="Z26" s="3"/>
      <c r="AA26" s="3"/>
      <c r="AB26" s="3"/>
      <c r="AC26" s="3">
        <f t="shared" ref="AC26" si="21">AVERAGE(AC2:AC22)</f>
        <v>3.7536080666666667</v>
      </c>
      <c r="AD26" s="3"/>
      <c r="AE26" s="3"/>
      <c r="AF26" s="3"/>
      <c r="AG26" s="3"/>
      <c r="AH26" s="3">
        <f>AVERAGE(AH2:AH22)</f>
        <v>300.66666666666669</v>
      </c>
    </row>
    <row r="27" spans="1:46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1"/>
      <c r="L27" s="1"/>
      <c r="M27" s="3"/>
      <c r="N27" s="3"/>
      <c r="W27" s="3"/>
      <c r="X27" s="3"/>
      <c r="Y27" s="3"/>
      <c r="Z27" s="3"/>
      <c r="AA27" s="3"/>
      <c r="AB27" s="3"/>
      <c r="AC27" s="3">
        <f t="shared" ref="AC27" si="22">STDEVA(AC2:AC22)</f>
        <v>1.9950408719910426</v>
      </c>
      <c r="AD27" s="3"/>
      <c r="AE27" s="3"/>
      <c r="AF27" s="3"/>
      <c r="AG27" s="3"/>
      <c r="AH27" s="3">
        <f>STDEVA(AH2:AH22)</f>
        <v>150.13977614527195</v>
      </c>
    </row>
    <row r="28" spans="1:46" x14ac:dyDescent="0.25">
      <c r="A28" s="1">
        <v>0</v>
      </c>
      <c r="B28" s="1">
        <v>19</v>
      </c>
      <c r="C28" s="3">
        <v>-36</v>
      </c>
      <c r="D28" s="3">
        <v>6.2662979999999999</v>
      </c>
      <c r="E28" s="3">
        <v>311.191959</v>
      </c>
      <c r="F28" s="3">
        <v>10.889486</v>
      </c>
      <c r="G28" s="3">
        <v>89.632068000000004</v>
      </c>
      <c r="H28" s="3">
        <v>47.460194999999999</v>
      </c>
      <c r="I28" s="3">
        <v>117.228829</v>
      </c>
      <c r="J28" s="6">
        <v>122.81957</v>
      </c>
      <c r="K28" s="1">
        <v>746</v>
      </c>
      <c r="L28" s="7">
        <v>376</v>
      </c>
      <c r="M28" s="3">
        <v>4805.9047659999997</v>
      </c>
      <c r="N28" s="3">
        <v>1.110873</v>
      </c>
    </row>
    <row r="29" spans="1:46" x14ac:dyDescent="0.25">
      <c r="A29" s="1">
        <v>0</v>
      </c>
      <c r="B29" s="1">
        <v>19</v>
      </c>
      <c r="C29" s="3">
        <v>2.7264059999999999</v>
      </c>
      <c r="D29" s="3">
        <v>1.931154</v>
      </c>
      <c r="E29" s="6">
        <v>248.431026</v>
      </c>
      <c r="F29" s="3">
        <v>3.519914</v>
      </c>
      <c r="G29" s="3">
        <v>225.931983</v>
      </c>
      <c r="H29" s="3">
        <v>9.1834699999999998</v>
      </c>
      <c r="I29" s="6">
        <v>93.935315000000003</v>
      </c>
      <c r="J29" s="3">
        <v>117.228829</v>
      </c>
      <c r="K29" s="7">
        <v>1236</v>
      </c>
      <c r="L29" s="1">
        <v>746</v>
      </c>
      <c r="M29" s="6">
        <v>13080.938866</v>
      </c>
      <c r="N29" s="6">
        <v>3.1459820000000001</v>
      </c>
    </row>
    <row r="30" spans="1:46" x14ac:dyDescent="0.25">
      <c r="A30" s="1">
        <v>0</v>
      </c>
      <c r="B30" s="1">
        <v>19</v>
      </c>
      <c r="C30" s="3">
        <v>-0.39589400000000002</v>
      </c>
      <c r="D30" s="3">
        <v>1.4305999999999999E-2</v>
      </c>
      <c r="E30" s="6">
        <v>62.297457999999999</v>
      </c>
      <c r="F30" s="3">
        <v>0.165548</v>
      </c>
      <c r="G30" s="3">
        <v>59.777073000000001</v>
      </c>
      <c r="H30" s="3">
        <v>0.75258000000000003</v>
      </c>
      <c r="I30" s="3">
        <v>0.25765700000000002</v>
      </c>
      <c r="J30" s="3">
        <v>93.935315000000003</v>
      </c>
      <c r="K30" s="1">
        <v>1951</v>
      </c>
      <c r="L30" s="1">
        <v>1236</v>
      </c>
      <c r="M30" s="3">
        <v>28140.415009</v>
      </c>
      <c r="N30" s="3">
        <v>14.869865000000001</v>
      </c>
    </row>
    <row r="31" spans="1:46" x14ac:dyDescent="0.25">
      <c r="A31" s="1">
        <v>0</v>
      </c>
      <c r="B31" s="1">
        <v>20</v>
      </c>
      <c r="C31" s="3">
        <v>-0.47831800000000002</v>
      </c>
      <c r="D31" s="3">
        <v>0.12800400000000001</v>
      </c>
      <c r="E31" s="3">
        <v>148.71703199999999</v>
      </c>
      <c r="F31" s="3">
        <v>1.186763</v>
      </c>
      <c r="G31" s="3">
        <v>142.95269099999999</v>
      </c>
      <c r="H31" s="3">
        <v>5.0730420000000001</v>
      </c>
      <c r="I31" s="6">
        <v>3.160031</v>
      </c>
      <c r="J31" s="6">
        <v>29.975573000000001</v>
      </c>
      <c r="K31" s="7">
        <v>1367</v>
      </c>
      <c r="L31" s="7">
        <v>426</v>
      </c>
      <c r="M31" s="6">
        <v>10817.02183</v>
      </c>
      <c r="N31" s="6">
        <v>5.9526529999999998</v>
      </c>
    </row>
    <row r="32" spans="1:46" x14ac:dyDescent="0.25">
      <c r="A32" s="1">
        <v>0</v>
      </c>
      <c r="B32" s="1">
        <v>20</v>
      </c>
      <c r="C32" s="3">
        <v>-1.093675</v>
      </c>
      <c r="D32" s="3">
        <v>0.32153700000000002</v>
      </c>
      <c r="E32" s="3">
        <v>117.090322</v>
      </c>
      <c r="F32" s="3">
        <v>2.5363950000000002</v>
      </c>
      <c r="G32" s="3">
        <v>120.605715</v>
      </c>
      <c r="H32" s="3">
        <v>5.6725649999999996</v>
      </c>
      <c r="I32" s="3">
        <v>1.0199830000000001</v>
      </c>
      <c r="J32" s="3">
        <v>3.160031</v>
      </c>
      <c r="K32" s="1">
        <v>1708</v>
      </c>
      <c r="L32" s="1">
        <v>1367</v>
      </c>
      <c r="M32" s="3">
        <v>13149.722371</v>
      </c>
      <c r="N32" s="3">
        <v>9.2360880000000005</v>
      </c>
    </row>
    <row r="33" spans="1:14" x14ac:dyDescent="0.25">
      <c r="A33" s="1">
        <v>0</v>
      </c>
      <c r="B33" s="1">
        <v>21</v>
      </c>
      <c r="C33" s="3">
        <v>3.2299159999999998</v>
      </c>
      <c r="D33" s="3">
        <v>1.867928</v>
      </c>
      <c r="E33" s="6">
        <v>393.13236599999999</v>
      </c>
      <c r="F33" s="3">
        <v>4.6964649999999999</v>
      </c>
      <c r="G33" s="3">
        <v>335.18426699999998</v>
      </c>
      <c r="H33" s="3">
        <v>18.778893</v>
      </c>
      <c r="I33" s="6">
        <v>33.153703</v>
      </c>
      <c r="J33" s="6">
        <v>38.873272999999998</v>
      </c>
      <c r="K33" s="7">
        <v>1082</v>
      </c>
      <c r="L33" s="7">
        <v>420</v>
      </c>
      <c r="M33" s="6">
        <v>4631.5314040000003</v>
      </c>
      <c r="N33" s="6">
        <v>1.8301559999999999</v>
      </c>
    </row>
    <row r="34" spans="1:14" x14ac:dyDescent="0.25">
      <c r="A34" s="1">
        <v>0</v>
      </c>
      <c r="B34" s="1">
        <v>21</v>
      </c>
      <c r="C34" s="3">
        <v>-1.5131680000000001</v>
      </c>
      <c r="D34" s="3">
        <v>0.14490800000000001</v>
      </c>
      <c r="E34" s="6">
        <v>78.848259999999996</v>
      </c>
      <c r="F34" s="3">
        <v>3.364522</v>
      </c>
      <c r="G34" s="3">
        <v>20.498360000000002</v>
      </c>
      <c r="H34" s="3">
        <v>8.1890470000000004</v>
      </c>
      <c r="I34" s="3">
        <v>3.937262</v>
      </c>
      <c r="J34" s="3">
        <v>33.153703</v>
      </c>
      <c r="K34" s="1">
        <v>1400</v>
      </c>
      <c r="L34" s="1">
        <v>1082</v>
      </c>
      <c r="M34" s="3">
        <v>12089.581924</v>
      </c>
      <c r="N34" s="3">
        <v>5.8073389999999998</v>
      </c>
    </row>
    <row r="35" spans="1:14" x14ac:dyDescent="0.25">
      <c r="A35" s="1">
        <v>0</v>
      </c>
      <c r="B35" s="1">
        <v>21</v>
      </c>
      <c r="C35" s="3">
        <v>-0.35049599999999997</v>
      </c>
      <c r="D35" s="3">
        <v>5.858E-2</v>
      </c>
      <c r="E35" s="3">
        <v>91.651951999999994</v>
      </c>
      <c r="F35" s="3">
        <v>0.73099499999999995</v>
      </c>
      <c r="G35" s="3">
        <v>87.566659000000001</v>
      </c>
      <c r="H35" s="3">
        <v>2.165124</v>
      </c>
      <c r="I35" s="3">
        <v>0.13415199999999999</v>
      </c>
      <c r="J35" s="3">
        <v>3.937262</v>
      </c>
      <c r="K35" s="1">
        <v>1891</v>
      </c>
      <c r="L35" s="1">
        <v>1400</v>
      </c>
      <c r="M35" s="3">
        <v>15151.361508</v>
      </c>
      <c r="N35" s="3">
        <v>11.253446</v>
      </c>
    </row>
    <row r="36" spans="1:14" x14ac:dyDescent="0.25">
      <c r="A36" s="1">
        <v>0</v>
      </c>
      <c r="B36" s="1">
        <v>22</v>
      </c>
      <c r="C36" s="3">
        <v>2.7966489999999999</v>
      </c>
      <c r="D36" s="3">
        <v>1.8870960000000001</v>
      </c>
      <c r="E36" s="6">
        <v>314.63161200000002</v>
      </c>
      <c r="F36" s="3">
        <v>6.0453929999999998</v>
      </c>
      <c r="G36" s="3">
        <v>273.79521999999997</v>
      </c>
      <c r="H36" s="3">
        <v>16.158100999999998</v>
      </c>
      <c r="I36" s="6">
        <v>28.845925999999999</v>
      </c>
      <c r="J36" s="6">
        <v>37.528556999999999</v>
      </c>
      <c r="K36" s="7">
        <v>1030</v>
      </c>
      <c r="L36" s="7">
        <v>432</v>
      </c>
      <c r="M36" s="6">
        <v>4643.8001880000002</v>
      </c>
      <c r="N36" s="6">
        <v>1.906304</v>
      </c>
    </row>
    <row r="37" spans="1:14" x14ac:dyDescent="0.25">
      <c r="A37" s="1">
        <v>0</v>
      </c>
      <c r="B37" s="1">
        <v>22</v>
      </c>
      <c r="C37" s="3">
        <v>-0.27670400000000001</v>
      </c>
      <c r="D37" s="3">
        <v>0.147033</v>
      </c>
      <c r="E37" s="6">
        <v>126.44382400000001</v>
      </c>
      <c r="F37" s="3">
        <v>1.655864</v>
      </c>
      <c r="G37" s="3">
        <v>115.47184300000001</v>
      </c>
      <c r="H37" s="3">
        <v>4.8862569999999996</v>
      </c>
      <c r="I37" s="3">
        <v>1.980343</v>
      </c>
      <c r="J37" s="3">
        <v>28.845925999999999</v>
      </c>
      <c r="K37" s="1">
        <v>1792</v>
      </c>
      <c r="L37" s="1">
        <v>1030</v>
      </c>
      <c r="M37" s="3">
        <v>13871.949167999999</v>
      </c>
      <c r="N37" s="3">
        <v>8.5553019999999993</v>
      </c>
    </row>
    <row r="38" spans="1:14" x14ac:dyDescent="0.25">
      <c r="A38" s="1">
        <v>0</v>
      </c>
      <c r="B38" s="1">
        <v>23</v>
      </c>
      <c r="C38" s="3">
        <v>-0.14773</v>
      </c>
      <c r="D38" s="3">
        <v>0.28140900000000002</v>
      </c>
      <c r="E38" s="6">
        <v>144.52812900000001</v>
      </c>
      <c r="F38" s="3">
        <v>1.0588649999999999</v>
      </c>
      <c r="G38" s="3">
        <v>141.70385899999999</v>
      </c>
      <c r="H38" s="3">
        <v>2.6243590000000001</v>
      </c>
      <c r="I38" s="6">
        <v>5.3565069999999997</v>
      </c>
      <c r="J38" s="6">
        <v>15.717105999999999</v>
      </c>
      <c r="K38" s="7">
        <v>1056</v>
      </c>
      <c r="L38" s="7">
        <v>480</v>
      </c>
      <c r="M38" s="6">
        <v>5890.7785610000001</v>
      </c>
      <c r="N38" s="6">
        <v>3.9051490000000002</v>
      </c>
    </row>
    <row r="39" spans="1:14" x14ac:dyDescent="0.25">
      <c r="A39" s="1">
        <v>0</v>
      </c>
      <c r="B39" s="1">
        <v>23</v>
      </c>
      <c r="C39" s="3">
        <v>-0.47297299999999998</v>
      </c>
      <c r="D39" s="3">
        <v>0.15414900000000001</v>
      </c>
      <c r="E39" s="6">
        <v>96.578396999999995</v>
      </c>
      <c r="F39" s="3">
        <v>0.59396899999999997</v>
      </c>
      <c r="G39" s="3">
        <v>96.638953999999998</v>
      </c>
      <c r="H39" s="3">
        <v>1.5087740000000001</v>
      </c>
      <c r="I39" s="3">
        <v>1.5895980000000001</v>
      </c>
      <c r="J39" s="3">
        <v>5.3565069999999997</v>
      </c>
      <c r="K39" s="1">
        <v>1481</v>
      </c>
      <c r="L39" s="1">
        <v>1056</v>
      </c>
      <c r="M39" s="3">
        <v>9425.1673859999992</v>
      </c>
      <c r="N39" s="3">
        <v>8.2590269999999997</v>
      </c>
    </row>
    <row r="40" spans="1:14" x14ac:dyDescent="0.25">
      <c r="A40" s="1">
        <v>0</v>
      </c>
      <c r="B40" s="1">
        <v>24</v>
      </c>
      <c r="C40" s="3">
        <v>-0.83138000000000001</v>
      </c>
      <c r="D40" s="3">
        <v>0.48441200000000001</v>
      </c>
      <c r="E40" s="3">
        <v>133.25202999999999</v>
      </c>
      <c r="F40" s="3">
        <v>0.54086100000000004</v>
      </c>
      <c r="G40" s="3">
        <v>133.23137500000001</v>
      </c>
      <c r="H40" s="3">
        <v>1.1235809999999999</v>
      </c>
      <c r="I40" s="6">
        <v>20.193106</v>
      </c>
      <c r="J40" s="6">
        <v>28.26247</v>
      </c>
      <c r="K40" s="7">
        <v>1077</v>
      </c>
      <c r="L40" s="7">
        <v>753</v>
      </c>
      <c r="M40" s="6">
        <v>5099.5724799999998</v>
      </c>
      <c r="N40" s="6">
        <v>2.374952</v>
      </c>
    </row>
    <row r="41" spans="1:14" x14ac:dyDescent="0.25">
      <c r="A41" s="1">
        <v>0</v>
      </c>
      <c r="B41" s="1">
        <v>24</v>
      </c>
      <c r="C41" s="3">
        <v>-0.338198</v>
      </c>
      <c r="D41" s="3">
        <v>3.4556999999999997E-2</v>
      </c>
      <c r="E41" s="3">
        <v>107.03658799999999</v>
      </c>
      <c r="F41" s="3">
        <v>0.67281500000000005</v>
      </c>
      <c r="G41" s="3">
        <v>89.230502999999999</v>
      </c>
      <c r="H41" s="3">
        <v>3.324646</v>
      </c>
      <c r="I41" s="3">
        <v>0.23849300000000001</v>
      </c>
      <c r="J41" s="3">
        <v>20.193106</v>
      </c>
      <c r="K41" s="1">
        <v>1848</v>
      </c>
      <c r="L41" s="1">
        <v>1077</v>
      </c>
      <c r="M41" s="3">
        <v>12239.221938999999</v>
      </c>
      <c r="N41" s="3">
        <v>10.067788999999999</v>
      </c>
    </row>
    <row r="42" spans="1:14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1"/>
      <c r="L42" s="1"/>
      <c r="M42" s="3"/>
      <c r="N42" s="3"/>
    </row>
    <row r="43" spans="1:14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1"/>
      <c r="L43" s="1"/>
      <c r="M43" s="3"/>
      <c r="N43" s="3"/>
    </row>
    <row r="44" spans="1:14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1"/>
      <c r="L44" s="1"/>
      <c r="M44" s="3"/>
      <c r="N44" s="3"/>
    </row>
    <row r="45" spans="1:14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1"/>
      <c r="L45" s="1"/>
      <c r="M45" s="3"/>
      <c r="N45" s="3"/>
    </row>
    <row r="46" spans="1:14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1"/>
      <c r="L46" s="1"/>
      <c r="M46" s="3"/>
      <c r="N46" s="3"/>
    </row>
    <row r="47" spans="1:14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1"/>
      <c r="L47" s="1"/>
      <c r="M47" s="3"/>
      <c r="N47" s="3"/>
    </row>
    <row r="48" spans="1:14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1"/>
      <c r="L48" s="1"/>
      <c r="M48" s="3"/>
      <c r="N48" s="3"/>
    </row>
    <row r="49" spans="1:14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1"/>
      <c r="L49" s="1"/>
      <c r="M49" s="3"/>
      <c r="N49" s="3"/>
    </row>
    <row r="50" spans="1:14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1"/>
      <c r="L50" s="1"/>
      <c r="M50" s="3"/>
      <c r="N50" s="3"/>
    </row>
    <row r="51" spans="1:14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1"/>
      <c r="L51" s="1"/>
      <c r="M51" s="3"/>
      <c r="N51" s="3"/>
    </row>
    <row r="52" spans="1:14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1"/>
      <c r="L52" s="1"/>
      <c r="M52" s="3"/>
      <c r="N52" s="3"/>
    </row>
    <row r="53" spans="1:14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1"/>
      <c r="L53" s="1"/>
      <c r="M53" s="3"/>
      <c r="N53" s="3"/>
    </row>
    <row r="54" spans="1:14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1"/>
      <c r="L54" s="1"/>
      <c r="M54" s="3"/>
      <c r="N54" s="3"/>
    </row>
    <row r="55" spans="1:14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1"/>
      <c r="L55" s="1"/>
      <c r="M55" s="3"/>
      <c r="N55" s="3"/>
    </row>
    <row r="56" spans="1:14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1"/>
      <c r="L56" s="1"/>
      <c r="M56" s="3"/>
      <c r="N56" s="3"/>
    </row>
    <row r="57" spans="1:14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1"/>
      <c r="L57" s="1"/>
      <c r="M57" s="3"/>
      <c r="N57" s="3"/>
    </row>
    <row r="58" spans="1:14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1"/>
      <c r="L58" s="1"/>
      <c r="M58" s="3"/>
      <c r="N58" s="3"/>
    </row>
    <row r="59" spans="1:14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1"/>
      <c r="L59" s="1"/>
      <c r="M59" s="3"/>
      <c r="N59" s="3"/>
    </row>
    <row r="60" spans="1:14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1"/>
      <c r="L60" s="1"/>
      <c r="M60" s="3"/>
      <c r="N60" s="3"/>
    </row>
    <row r="61" spans="1:14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1"/>
      <c r="L61" s="1"/>
      <c r="M61" s="3"/>
      <c r="N61" s="3"/>
    </row>
    <row r="62" spans="1:14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1"/>
      <c r="L62" s="1"/>
      <c r="M62" s="3"/>
      <c r="N62" s="3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"/>
  <sheetViews>
    <sheetView workbookViewId="0">
      <selection activeCell="Z24" sqref="Z24"/>
    </sheetView>
  </sheetViews>
  <sheetFormatPr defaultRowHeight="14.4" x14ac:dyDescent="0.25"/>
  <cols>
    <col min="26" max="28" width="9.5546875" bestFit="1" customWidth="1"/>
    <col min="32" max="32" width="9.5546875" bestFit="1" customWidth="1"/>
    <col min="33" max="33" width="10.5546875" bestFit="1" customWidth="1"/>
    <col min="34" max="34" width="11.6640625" bestFit="1" customWidth="1"/>
    <col min="35" max="35" width="12.77734375" bestFit="1" customWidth="1"/>
  </cols>
  <sheetData>
    <row r="1" spans="1:3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P1" s="1" t="s">
        <v>1</v>
      </c>
      <c r="Q1" s="1" t="s">
        <v>18</v>
      </c>
      <c r="R1" s="1" t="s">
        <v>19</v>
      </c>
      <c r="S1" t="s">
        <v>14</v>
      </c>
      <c r="T1" t="s">
        <v>15</v>
      </c>
      <c r="U1" t="s">
        <v>16</v>
      </c>
      <c r="V1" t="s">
        <v>20</v>
      </c>
      <c r="W1" t="s">
        <v>17</v>
      </c>
      <c r="Y1" t="s">
        <v>21</v>
      </c>
      <c r="Z1" t="s">
        <v>30</v>
      </c>
      <c r="AA1" t="s">
        <v>31</v>
      </c>
      <c r="AB1" t="s">
        <v>23</v>
      </c>
      <c r="AC1" t="s">
        <v>27</v>
      </c>
      <c r="AD1" t="s">
        <v>28</v>
      </c>
      <c r="AE1" t="s">
        <v>29</v>
      </c>
      <c r="AF1" t="s">
        <v>24</v>
      </c>
      <c r="AG1" t="s">
        <v>26</v>
      </c>
      <c r="AH1" t="s">
        <v>33</v>
      </c>
      <c r="AI1" t="s">
        <v>32</v>
      </c>
    </row>
    <row r="2" spans="1:36" x14ac:dyDescent="0.25">
      <c r="A2" s="1">
        <v>0</v>
      </c>
      <c r="B2" s="1">
        <v>4</v>
      </c>
      <c r="C2" s="3">
        <v>-2.5727250000000002</v>
      </c>
      <c r="D2" s="3">
        <v>0.39487299999999997</v>
      </c>
      <c r="E2" s="3">
        <v>102.396297</v>
      </c>
      <c r="F2" s="3">
        <v>1.8551569999999999</v>
      </c>
      <c r="G2" s="3">
        <v>17.091366000000001</v>
      </c>
      <c r="H2" s="3">
        <v>7.8683839999999998</v>
      </c>
      <c r="I2" s="3">
        <v>362.20040299999999</v>
      </c>
      <c r="J2" s="6">
        <v>498.48097899999999</v>
      </c>
      <c r="K2" s="1">
        <v>812</v>
      </c>
      <c r="L2" s="7">
        <v>516</v>
      </c>
      <c r="M2" s="3">
        <v>22617.504205000001</v>
      </c>
      <c r="N2" s="3">
        <v>2.969948</v>
      </c>
      <c r="P2">
        <v>4</v>
      </c>
      <c r="Q2" s="4">
        <v>103.012655</v>
      </c>
      <c r="R2" s="4">
        <v>50.020091000000001</v>
      </c>
      <c r="S2" s="1">
        <f>K3-L2</f>
        <v>735</v>
      </c>
      <c r="T2" s="4">
        <f>M3/1000</f>
        <v>39.845096448999996</v>
      </c>
      <c r="U2" s="4">
        <f>J2</f>
        <v>498.48097899999999</v>
      </c>
      <c r="V2" s="4">
        <f>J4</f>
        <v>32.797029000000002</v>
      </c>
      <c r="W2" s="4">
        <f>N3</f>
        <v>7.47607</v>
      </c>
      <c r="Y2" s="3">
        <f>R2/Q2</f>
        <v>0.48557229206450414</v>
      </c>
      <c r="Z2" s="3">
        <f>Q2^(0.1)*(1-Y2^0.1)/(1-Y2)</f>
        <v>0.2153604086495606</v>
      </c>
      <c r="AA2" s="3">
        <f>Q2^(0.3)*(1-Y2^0.3)/(1-Y2)</f>
        <v>1.5214084631142868</v>
      </c>
      <c r="AB2" s="3">
        <f>Q2^(0.5)*(1-Y2^0.5)/(1-Y2)</f>
        <v>5.9814559911157668</v>
      </c>
      <c r="AC2" s="3">
        <f>Q2^(0.7)*(1-Y2^0.7)/(1-Y2)</f>
        <v>19.787812196497566</v>
      </c>
      <c r="AD2" s="3">
        <f>Q2^(0.9)*(1-Y2^0.9)/(1-Y2)</f>
        <v>60.221410555086393</v>
      </c>
      <c r="AE2" s="3"/>
      <c r="AF2" s="3">
        <f>Q2^(1.5)*(1-Y2^1.5)/(1-Y2)</f>
        <v>1344.7214614441</v>
      </c>
      <c r="AG2" s="3">
        <f>Q2^(2)*(1-Y2^2)/(1-Y2)</f>
        <v>15764.309467400628</v>
      </c>
      <c r="AH2" s="3">
        <f>Q2^(2.5)*(1-Y2^1.5)/(1-Y2)</f>
        <v>138523.32797883701</v>
      </c>
      <c r="AI2" s="3">
        <f>Q2^(3)*(1-Y2^2)/(1-Y2)</f>
        <v>1623923.3724785745</v>
      </c>
      <c r="AJ2" s="3"/>
    </row>
    <row r="3" spans="1:36" x14ac:dyDescent="0.25">
      <c r="A3" s="1">
        <v>0</v>
      </c>
      <c r="B3" s="1">
        <v>4</v>
      </c>
      <c r="C3" s="3">
        <v>-0.48052800000000001</v>
      </c>
      <c r="D3" s="3">
        <v>8.1442000000000001E-2</v>
      </c>
      <c r="E3" s="6">
        <v>103.012655</v>
      </c>
      <c r="F3" s="3">
        <v>0.44234099999999998</v>
      </c>
      <c r="G3" s="3">
        <v>100.087926</v>
      </c>
      <c r="H3" s="3">
        <v>1.663084</v>
      </c>
      <c r="I3" s="6">
        <v>32.797029000000002</v>
      </c>
      <c r="J3" s="3">
        <v>362.20040299999999</v>
      </c>
      <c r="K3" s="7">
        <v>1251</v>
      </c>
      <c r="L3" s="1">
        <v>812</v>
      </c>
      <c r="M3" s="6">
        <v>39845.096448999997</v>
      </c>
      <c r="N3" s="6">
        <v>7.47607</v>
      </c>
      <c r="Q3" s="4"/>
      <c r="R3" s="4"/>
      <c r="S3" s="5"/>
      <c r="T3" s="4"/>
      <c r="U3" s="4"/>
      <c r="V3" s="4"/>
      <c r="W3" s="4"/>
      <c r="Y3" s="3" t="s">
        <v>22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>
        <v>0</v>
      </c>
      <c r="B4" s="1">
        <v>4</v>
      </c>
      <c r="C4" s="3">
        <v>-0.38076900000000002</v>
      </c>
      <c r="D4" s="3">
        <v>3.9232999999999997E-2</v>
      </c>
      <c r="E4" s="6">
        <v>50.020091000000001</v>
      </c>
      <c r="F4" s="3">
        <v>0.31306</v>
      </c>
      <c r="G4" s="3">
        <v>46.889100999999997</v>
      </c>
      <c r="H4" s="3">
        <v>1.0795079999999999</v>
      </c>
      <c r="I4" s="3">
        <v>0.57067900000000005</v>
      </c>
      <c r="J4" s="3">
        <v>32.797029000000002</v>
      </c>
      <c r="K4" s="1">
        <v>1571</v>
      </c>
      <c r="L4" s="1">
        <v>1251</v>
      </c>
      <c r="M4" s="3">
        <v>48125.938644000002</v>
      </c>
      <c r="N4" s="3">
        <v>14.12801</v>
      </c>
      <c r="P4">
        <v>6</v>
      </c>
      <c r="Q4" s="8">
        <f>E5</f>
        <v>255.91900000000001</v>
      </c>
      <c r="R4" s="4">
        <f>E6</f>
        <v>58.872517000000002</v>
      </c>
      <c r="S4" s="1">
        <f>K5-L5</f>
        <v>360</v>
      </c>
      <c r="T4" s="4">
        <f>M5/1000</f>
        <v>7.5469992069999998</v>
      </c>
      <c r="U4" s="4">
        <f>J5</f>
        <v>206.62106800000001</v>
      </c>
      <c r="V4" s="4">
        <f>I5</f>
        <v>190.98807300000001</v>
      </c>
      <c r="W4" s="4">
        <f>N5</f>
        <v>1.386736</v>
      </c>
      <c r="Y4" s="3">
        <f t="shared" ref="Y4:Y22" si="0">R4/Q4</f>
        <v>0.23004355675037805</v>
      </c>
      <c r="Z4" s="3">
        <f t="shared" ref="Z4:Z22" si="1">Q4^(0.1)*(1-Y4^0.1)/(1-Y4)</f>
        <v>0.30902308010567281</v>
      </c>
      <c r="AA4" s="3">
        <f t="shared" ref="AA4:AA22" si="2">Q4^(0.3)*(1-Y4^0.3)/(1-Y4)</f>
        <v>2.4436225024281448</v>
      </c>
      <c r="AB4" s="3">
        <f t="shared" ref="AB4:AB22" si="3">Q4^(0.5)*(1-Y4^0.5)/(1-Y4)</f>
        <v>10.811813835502198</v>
      </c>
      <c r="AC4" s="3">
        <f t="shared" ref="AC4:AC22" si="4">Q4^(0.7)*(1-Y4^0.7)/(1-Y4)</f>
        <v>40.465391831553937</v>
      </c>
      <c r="AD4" s="3">
        <f t="shared" ref="AD4:AD22" si="5">Q4^(0.9)*(1-Y4^0.9)/(1-Y4)</f>
        <v>140.03964287773843</v>
      </c>
      <c r="AE4" s="3"/>
      <c r="AF4" s="3">
        <f t="shared" ref="AF4:AF22" si="6">Q4^(1.5)*(1-Y4^1.5)/(1-Y4)</f>
        <v>4730.5748476129856</v>
      </c>
      <c r="AG4" s="3">
        <f t="shared" ref="AG4:AG22" si="7">Q4^(2)*(1-Y4^2)/(1-Y4)</f>
        <v>80561.130239122998</v>
      </c>
      <c r="AH4" s="3">
        <f t="shared" ref="AH4:AH22" si="8">Q4^(2.5)*(1-Y4^1.5)/(1-Y4)</f>
        <v>1210643.9844262677</v>
      </c>
      <c r="AI4" s="3">
        <f t="shared" ref="AI4:AI22" si="9">Q4^(3)*(1-Y4^2)/(1-Y4)</f>
        <v>20617123.889666118</v>
      </c>
      <c r="AJ4" s="3"/>
    </row>
    <row r="5" spans="1:36" x14ac:dyDescent="0.25">
      <c r="A5" s="1">
        <v>0</v>
      </c>
      <c r="B5" s="1">
        <v>6</v>
      </c>
      <c r="C5" s="3">
        <v>-8.9215499999999999</v>
      </c>
      <c r="D5" s="3">
        <v>3.1297830000000002</v>
      </c>
      <c r="E5" s="6">
        <v>255.91900000000001</v>
      </c>
      <c r="F5" s="3">
        <v>1.722105</v>
      </c>
      <c r="G5" s="3">
        <v>256.72194400000001</v>
      </c>
      <c r="H5" s="3">
        <v>2.8117260000000002</v>
      </c>
      <c r="I5" s="6">
        <v>190.98807300000001</v>
      </c>
      <c r="J5" s="6">
        <v>206.62106800000001</v>
      </c>
      <c r="K5" s="7">
        <v>963</v>
      </c>
      <c r="L5" s="7">
        <v>603</v>
      </c>
      <c r="M5" s="6">
        <v>7546.9992069999998</v>
      </c>
      <c r="N5" s="6">
        <v>1.386736</v>
      </c>
      <c r="P5">
        <v>7</v>
      </c>
      <c r="Q5" s="4">
        <f>E8</f>
        <v>149.638644</v>
      </c>
      <c r="R5" s="4">
        <f>E9</f>
        <v>57.396161999999997</v>
      </c>
      <c r="S5" s="1">
        <f>K8-L8</f>
        <v>452</v>
      </c>
      <c r="T5" s="4">
        <f>M8/1000</f>
        <v>9.2350012259999996</v>
      </c>
      <c r="U5" s="4">
        <f>J8</f>
        <v>62.660808000000003</v>
      </c>
      <c r="V5" s="4">
        <f>I8</f>
        <v>41.293337000000001</v>
      </c>
      <c r="W5" s="4">
        <f>N8</f>
        <v>3.0859009999999998</v>
      </c>
      <c r="Y5" s="3">
        <f t="shared" si="0"/>
        <v>0.38356510367736291</v>
      </c>
      <c r="Z5" s="3">
        <f t="shared" si="1"/>
        <v>0.24459762556887799</v>
      </c>
      <c r="AA5" s="3">
        <f t="shared" si="2"/>
        <v>1.8209348973097226</v>
      </c>
      <c r="AB5" s="3">
        <f t="shared" si="3"/>
        <v>7.5541830519203339</v>
      </c>
      <c r="AC5" s="3">
        <f t="shared" si="4"/>
        <v>26.404238872178166</v>
      </c>
      <c r="AD5" s="3">
        <f t="shared" si="5"/>
        <v>85.011126949906355</v>
      </c>
      <c r="AE5" s="3"/>
      <c r="AF5" s="3">
        <f t="shared" si="6"/>
        <v>2264.0638874268379</v>
      </c>
      <c r="AG5" s="3">
        <f t="shared" si="7"/>
        <v>30980.407630643058</v>
      </c>
      <c r="AH5" s="3">
        <f t="shared" si="8"/>
        <v>338791.45004392054</v>
      </c>
      <c r="AI5" s="3">
        <f t="shared" si="9"/>
        <v>4635866.1884166803</v>
      </c>
      <c r="AJ5" s="3"/>
    </row>
    <row r="6" spans="1:36" x14ac:dyDescent="0.25">
      <c r="A6" s="1">
        <v>0</v>
      </c>
      <c r="B6" s="1">
        <v>6</v>
      </c>
      <c r="C6" s="3">
        <v>0.109211</v>
      </c>
      <c r="D6" s="3">
        <v>9.4449000000000005E-2</v>
      </c>
      <c r="E6" s="6">
        <v>58.872517000000002</v>
      </c>
      <c r="F6" s="3">
        <v>0.756166</v>
      </c>
      <c r="G6" s="3">
        <v>28.942478000000001</v>
      </c>
      <c r="H6" s="3">
        <v>2.9727839999999999</v>
      </c>
      <c r="I6" s="3">
        <v>41.837398999999998</v>
      </c>
      <c r="J6" s="3">
        <v>190.98807300000001</v>
      </c>
      <c r="K6" s="1">
        <v>1212</v>
      </c>
      <c r="L6" s="1">
        <v>963</v>
      </c>
      <c r="M6" s="3">
        <v>26746.929077000001</v>
      </c>
      <c r="N6" s="3">
        <v>5.9173819999999999</v>
      </c>
      <c r="P6">
        <v>8</v>
      </c>
      <c r="Q6" s="4">
        <f>E11</f>
        <v>139.71823699999999</v>
      </c>
      <c r="R6" s="4">
        <f>E12</f>
        <v>58.203493999999999</v>
      </c>
      <c r="S6" s="1">
        <f>K11-L11</f>
        <v>250</v>
      </c>
      <c r="T6" s="4">
        <f>M11/1000</f>
        <v>9.458841284</v>
      </c>
      <c r="U6" s="4">
        <f>J11</f>
        <v>209.888633</v>
      </c>
      <c r="V6" s="4">
        <f>I11</f>
        <v>175.001598</v>
      </c>
      <c r="W6" s="4">
        <f>N11</f>
        <v>1.757935</v>
      </c>
      <c r="Y6" s="3">
        <f t="shared" si="0"/>
        <v>0.4165776440479993</v>
      </c>
      <c r="Z6" s="3">
        <f t="shared" si="1"/>
        <v>0.23551166403970614</v>
      </c>
      <c r="AA6" s="3">
        <f t="shared" si="2"/>
        <v>1.7428630704031729</v>
      </c>
      <c r="AB6" s="3">
        <f t="shared" si="3"/>
        <v>7.1836902085698604</v>
      </c>
      <c r="AC6" s="3">
        <f t="shared" si="4"/>
        <v>24.935062635899055</v>
      </c>
      <c r="AD6" s="3">
        <f t="shared" si="5"/>
        <v>79.685452486960571</v>
      </c>
      <c r="AE6" s="3"/>
      <c r="AF6" s="3">
        <f t="shared" si="6"/>
        <v>2069.6199290432664</v>
      </c>
      <c r="AG6" s="3">
        <f t="shared" si="7"/>
        <v>27653.275319308243</v>
      </c>
      <c r="AH6" s="3">
        <f t="shared" si="8"/>
        <v>289163.64774599002</v>
      </c>
      <c r="AI6" s="3">
        <f t="shared" si="9"/>
        <v>3863666.8748893593</v>
      </c>
      <c r="AJ6" s="3"/>
    </row>
    <row r="7" spans="1:36" x14ac:dyDescent="0.25">
      <c r="A7" s="1">
        <v>0</v>
      </c>
      <c r="B7" s="1">
        <v>6</v>
      </c>
      <c r="C7" s="3">
        <v>-0.63939100000000004</v>
      </c>
      <c r="D7" s="3">
        <v>2.4382000000000001E-2</v>
      </c>
      <c r="E7" s="3">
        <v>39.204349000000001</v>
      </c>
      <c r="F7" s="3">
        <v>0.77903599999999995</v>
      </c>
      <c r="G7" s="3">
        <v>32.032300999999997</v>
      </c>
      <c r="H7" s="3">
        <v>3.9039670000000002</v>
      </c>
      <c r="I7" s="3">
        <v>0.15757599999999999</v>
      </c>
      <c r="J7" s="3">
        <v>41.837398999999998</v>
      </c>
      <c r="K7" s="1">
        <v>1651</v>
      </c>
      <c r="L7" s="1">
        <v>1212</v>
      </c>
      <c r="M7" s="3">
        <v>37577.263844000001</v>
      </c>
      <c r="N7" s="3">
        <v>16.223047000000001</v>
      </c>
      <c r="Q7" s="4"/>
      <c r="R7" s="4"/>
      <c r="S7" s="5"/>
      <c r="T7" s="4"/>
      <c r="U7" s="4"/>
      <c r="V7" s="4"/>
      <c r="W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>
        <v>0</v>
      </c>
      <c r="B8" s="1">
        <v>7</v>
      </c>
      <c r="C8" s="3">
        <v>-2.5805000000000002E-2</v>
      </c>
      <c r="D8" s="3">
        <v>0.40816799999999998</v>
      </c>
      <c r="E8" s="6">
        <v>149.638644</v>
      </c>
      <c r="F8" s="3">
        <v>0.65706200000000003</v>
      </c>
      <c r="G8" s="3">
        <v>148.239045</v>
      </c>
      <c r="H8" s="3">
        <v>1.886517</v>
      </c>
      <c r="I8" s="6">
        <v>41.293337000000001</v>
      </c>
      <c r="J8" s="6">
        <v>62.660808000000003</v>
      </c>
      <c r="K8" s="7">
        <v>1215</v>
      </c>
      <c r="L8" s="7">
        <v>763</v>
      </c>
      <c r="M8" s="6">
        <v>9235.0012260000003</v>
      </c>
      <c r="N8" s="6">
        <v>3.0859009999999998</v>
      </c>
      <c r="Q8" s="4"/>
      <c r="R8" s="4"/>
      <c r="S8" s="5"/>
      <c r="T8" s="4"/>
      <c r="U8" s="4"/>
      <c r="V8" s="4"/>
      <c r="W8" s="4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1">
        <v>0</v>
      </c>
      <c r="B9" s="1">
        <v>7</v>
      </c>
      <c r="C9" s="3">
        <v>6.4310999999999993E-2</v>
      </c>
      <c r="D9" s="3">
        <v>0.114997</v>
      </c>
      <c r="E9" s="6">
        <v>57.396161999999997</v>
      </c>
      <c r="F9" s="3">
        <v>0.57924500000000001</v>
      </c>
      <c r="G9" s="3">
        <v>53.053255</v>
      </c>
      <c r="H9" s="3">
        <v>1.779102</v>
      </c>
      <c r="I9" s="3">
        <v>11.437011</v>
      </c>
      <c r="J9" s="3">
        <v>41.293337000000001</v>
      </c>
      <c r="K9" s="1">
        <v>1390</v>
      </c>
      <c r="L9" s="1">
        <v>1215</v>
      </c>
      <c r="M9" s="3">
        <v>15311.377782</v>
      </c>
      <c r="N9" s="3">
        <v>5.9969770000000002</v>
      </c>
      <c r="P9">
        <v>11</v>
      </c>
      <c r="Q9" s="4">
        <f>E14</f>
        <v>135.229241</v>
      </c>
      <c r="R9" s="4">
        <f>E15</f>
        <v>73.901133000000002</v>
      </c>
      <c r="S9" s="1">
        <f>K14-L14</f>
        <v>978</v>
      </c>
      <c r="T9" s="4">
        <f>M14/1000</f>
        <v>13.360053712999999</v>
      </c>
      <c r="U9" s="4">
        <f>J14</f>
        <v>31.35436</v>
      </c>
      <c r="V9" s="4">
        <f>I14</f>
        <v>5.3022080000000003</v>
      </c>
      <c r="W9" s="4">
        <f>N14</f>
        <v>7.1809409999999998</v>
      </c>
      <c r="Y9" s="3">
        <f t="shared" si="0"/>
        <v>0.54648781915443867</v>
      </c>
      <c r="Z9" s="3">
        <f t="shared" si="1"/>
        <v>0.2111908076607773</v>
      </c>
      <c r="AA9" s="3">
        <f t="shared" si="2"/>
        <v>1.5932973232626113</v>
      </c>
      <c r="AB9" s="3">
        <f t="shared" si="3"/>
        <v>6.6861136825029126</v>
      </c>
      <c r="AC9" s="3">
        <f t="shared" si="4"/>
        <v>23.596960029270935</v>
      </c>
      <c r="AD9" s="3">
        <f t="shared" si="5"/>
        <v>76.57351539729477</v>
      </c>
      <c r="AE9" s="3"/>
      <c r="AF9" s="3">
        <f t="shared" si="6"/>
        <v>2066.6666369170712</v>
      </c>
      <c r="AG9" s="3">
        <f t="shared" si="7"/>
        <v>28280.54174606613</v>
      </c>
      <c r="AH9" s="3">
        <f t="shared" si="8"/>
        <v>279473.76071031805</v>
      </c>
      <c r="AI9" s="3">
        <f t="shared" si="9"/>
        <v>3824356.1953893378</v>
      </c>
      <c r="AJ9" s="3"/>
    </row>
    <row r="10" spans="1:36" x14ac:dyDescent="0.25">
      <c r="A10" s="1">
        <v>0</v>
      </c>
      <c r="B10" s="1">
        <v>7</v>
      </c>
      <c r="C10" s="3">
        <v>-0.40954600000000002</v>
      </c>
      <c r="D10" s="3">
        <v>2.1520999999999998E-2</v>
      </c>
      <c r="E10" s="3">
        <v>30.165521999999999</v>
      </c>
      <c r="F10" s="3">
        <v>0.13372899999999999</v>
      </c>
      <c r="G10" s="3">
        <v>29.657705</v>
      </c>
      <c r="H10" s="3">
        <v>0.35350199999999998</v>
      </c>
      <c r="I10" s="3">
        <v>8.7304999999999994E-2</v>
      </c>
      <c r="J10" s="3">
        <v>11.437011</v>
      </c>
      <c r="K10" s="1">
        <v>1648</v>
      </c>
      <c r="L10" s="1">
        <v>1390</v>
      </c>
      <c r="M10" s="3">
        <v>21131.088756000001</v>
      </c>
      <c r="N10" s="3">
        <v>14.897561</v>
      </c>
      <c r="P10">
        <v>12</v>
      </c>
      <c r="Q10" s="4">
        <f>E16</f>
        <v>132.754212</v>
      </c>
      <c r="R10" s="4">
        <f>E17</f>
        <v>85.090459999999993</v>
      </c>
      <c r="S10" s="1">
        <f>K16-L16</f>
        <v>654</v>
      </c>
      <c r="T10" s="4">
        <f>M16/1000</f>
        <v>14.200726489000001</v>
      </c>
      <c r="U10" s="4">
        <f>J16</f>
        <v>115.176087</v>
      </c>
      <c r="V10" s="4">
        <f>I16</f>
        <v>19.421199000000001</v>
      </c>
      <c r="W10" s="4">
        <f>N16</f>
        <v>4.9772249999999998</v>
      </c>
      <c r="Y10" s="3">
        <f t="shared" si="0"/>
        <v>0.6409624125523038</v>
      </c>
      <c r="Z10" s="3">
        <f t="shared" si="1"/>
        <v>0.1975567842943019</v>
      </c>
      <c r="AA10" s="3">
        <f t="shared" si="2"/>
        <v>1.507969184844187</v>
      </c>
      <c r="AB10" s="3">
        <f t="shared" si="3"/>
        <v>6.3989188064647449</v>
      </c>
      <c r="AC10" s="3">
        <f t="shared" si="4"/>
        <v>22.823680848852089</v>
      </c>
      <c r="AD10" s="3">
        <f t="shared" si="5"/>
        <v>74.811127027172944</v>
      </c>
      <c r="AE10" s="3"/>
      <c r="AF10" s="3">
        <f t="shared" si="6"/>
        <v>2074.0678865847412</v>
      </c>
      <c r="AG10" s="3">
        <f t="shared" si="7"/>
        <v>28919.797769758465</v>
      </c>
      <c r="AH10" s="3">
        <f t="shared" si="8"/>
        <v>275341.24791806232</v>
      </c>
      <c r="AI10" s="3">
        <f t="shared" si="9"/>
        <v>3839224.964123643</v>
      </c>
      <c r="AJ10" s="3"/>
    </row>
    <row r="11" spans="1:36" x14ac:dyDescent="0.25">
      <c r="A11" s="1">
        <v>0</v>
      </c>
      <c r="B11" s="1">
        <v>8</v>
      </c>
      <c r="C11" s="3">
        <v>7.6530000000000001E-3</v>
      </c>
      <c r="D11" s="3">
        <v>1.337799</v>
      </c>
      <c r="E11" s="6">
        <v>139.71823699999999</v>
      </c>
      <c r="F11" s="3">
        <v>1.418431</v>
      </c>
      <c r="G11" s="3">
        <v>137.996174</v>
      </c>
      <c r="H11" s="3">
        <v>4.2118330000000004</v>
      </c>
      <c r="I11" s="6">
        <v>175.001598</v>
      </c>
      <c r="J11" s="6">
        <v>209.888633</v>
      </c>
      <c r="K11" s="7">
        <v>973</v>
      </c>
      <c r="L11" s="7">
        <v>723</v>
      </c>
      <c r="M11" s="6">
        <v>9458.8412840000001</v>
      </c>
      <c r="N11" s="6">
        <v>1.757935</v>
      </c>
      <c r="Q11" s="4"/>
      <c r="R11" s="4"/>
      <c r="S11" s="5"/>
      <c r="T11" s="4"/>
      <c r="U11" s="4"/>
      <c r="V11" s="4"/>
      <c r="W11" s="4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>
        <v>0</v>
      </c>
      <c r="B12" s="1">
        <v>8</v>
      </c>
      <c r="C12" s="3">
        <v>-0.21132400000000001</v>
      </c>
      <c r="D12" s="3">
        <v>2.8570000000000002E-2</v>
      </c>
      <c r="E12" s="6">
        <v>58.203493999999999</v>
      </c>
      <c r="F12" s="3">
        <v>0.41419400000000001</v>
      </c>
      <c r="G12" s="3">
        <v>46.367829999999998</v>
      </c>
      <c r="H12" s="3">
        <v>1.9653890000000001</v>
      </c>
      <c r="I12" s="3">
        <v>14.946263</v>
      </c>
      <c r="J12" s="3">
        <v>175.001598</v>
      </c>
      <c r="K12" s="1">
        <v>1263</v>
      </c>
      <c r="L12" s="1">
        <v>973</v>
      </c>
      <c r="M12" s="3">
        <v>25539.824255</v>
      </c>
      <c r="N12" s="3">
        <v>6.6930690000000004</v>
      </c>
      <c r="Q12" s="4"/>
      <c r="R12" s="4"/>
      <c r="S12" s="5"/>
      <c r="T12" s="4"/>
      <c r="U12" s="4"/>
      <c r="V12" s="4"/>
      <c r="W12" s="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1">
        <v>0</v>
      </c>
      <c r="B13" s="1">
        <v>8</v>
      </c>
      <c r="C13" s="3">
        <v>-0.42057899999999998</v>
      </c>
      <c r="D13" s="3">
        <v>2.2838000000000001E-2</v>
      </c>
      <c r="E13" s="3">
        <v>31.468686999999999</v>
      </c>
      <c r="F13" s="3">
        <v>0.201318</v>
      </c>
      <c r="G13" s="3">
        <v>30.824092</v>
      </c>
      <c r="H13" s="3">
        <v>0.69335999999999998</v>
      </c>
      <c r="I13" s="3">
        <v>0.15012300000000001</v>
      </c>
      <c r="J13" s="3">
        <v>14.946263</v>
      </c>
      <c r="K13" s="1">
        <v>1478</v>
      </c>
      <c r="L13" s="1">
        <v>1263</v>
      </c>
      <c r="M13" s="3">
        <v>30696.759827999998</v>
      </c>
      <c r="N13" s="3">
        <v>13.385482</v>
      </c>
      <c r="P13">
        <v>15</v>
      </c>
      <c r="Q13" s="4">
        <f>E20</f>
        <v>178.531893</v>
      </c>
      <c r="R13" s="4">
        <f>E21</f>
        <v>102.94216900000001</v>
      </c>
      <c r="S13" s="1">
        <f>K20-L20</f>
        <v>579</v>
      </c>
      <c r="T13" s="4">
        <f>M20/1000</f>
        <v>10.545999159999999</v>
      </c>
      <c r="U13" s="4">
        <f>J20</f>
        <v>77.547448000000003</v>
      </c>
      <c r="V13" s="4">
        <f>I20</f>
        <v>53.669414000000003</v>
      </c>
      <c r="W13" s="4">
        <f>N20</f>
        <v>3.1546439999999998</v>
      </c>
      <c r="Y13" s="3">
        <f t="shared" si="0"/>
        <v>0.57660380602137018</v>
      </c>
      <c r="Z13" s="3">
        <f t="shared" si="1"/>
        <v>0.21250027013076403</v>
      </c>
      <c r="AA13" s="3">
        <f t="shared" si="2"/>
        <v>1.7035324558981706</v>
      </c>
      <c r="AB13" s="3">
        <f t="shared" si="3"/>
        <v>7.5946376884156805</v>
      </c>
      <c r="AC13" s="3">
        <f t="shared" si="4"/>
        <v>28.469521109672545</v>
      </c>
      <c r="AD13" s="3">
        <f t="shared" si="5"/>
        <v>98.108194501748713</v>
      </c>
      <c r="AE13" s="3"/>
      <c r="AF13" s="3">
        <f t="shared" si="6"/>
        <v>3167.2771343393874</v>
      </c>
      <c r="AG13" s="3">
        <f t="shared" si="7"/>
        <v>50252.097119259364</v>
      </c>
      <c r="AH13" s="3">
        <f t="shared" si="8"/>
        <v>565459.98244922608</v>
      </c>
      <c r="AI13" s="3">
        <f t="shared" si="9"/>
        <v>8971602.0259212218</v>
      </c>
      <c r="AJ13" s="3"/>
    </row>
    <row r="14" spans="1:36" x14ac:dyDescent="0.25">
      <c r="A14" s="1">
        <v>0</v>
      </c>
      <c r="B14" s="1">
        <v>11</v>
      </c>
      <c r="C14" s="3">
        <v>-0.56769700000000001</v>
      </c>
      <c r="D14" s="3">
        <v>8.0033999999999994E-2</v>
      </c>
      <c r="E14" s="6">
        <v>135.229241</v>
      </c>
      <c r="F14" s="3">
        <v>0.45175599999999999</v>
      </c>
      <c r="G14" s="3">
        <v>132.296064</v>
      </c>
      <c r="H14" s="3">
        <v>2.4694310000000002</v>
      </c>
      <c r="I14" s="6">
        <v>5.3022080000000003</v>
      </c>
      <c r="J14" s="6">
        <v>31.35436</v>
      </c>
      <c r="K14" s="7">
        <v>1724</v>
      </c>
      <c r="L14" s="7">
        <v>746</v>
      </c>
      <c r="M14" s="6">
        <v>13360.053712999999</v>
      </c>
      <c r="N14" s="6">
        <v>7.1809409999999998</v>
      </c>
      <c r="P14">
        <v>16</v>
      </c>
      <c r="Q14" s="4">
        <f>E23</f>
        <v>179.73496800000001</v>
      </c>
      <c r="R14" s="4">
        <f>E24</f>
        <v>113.466448</v>
      </c>
      <c r="S14" s="1">
        <f>K23-L23</f>
        <v>1017</v>
      </c>
      <c r="T14" s="4">
        <f>M23/1000</f>
        <v>14.222131601999999</v>
      </c>
      <c r="U14" s="4">
        <f>J23</f>
        <v>60.065069000000001</v>
      </c>
      <c r="V14" s="4">
        <f>I23</f>
        <v>16.273944</v>
      </c>
      <c r="W14" s="4">
        <f>N23</f>
        <v>5.4581480000000004</v>
      </c>
      <c r="Y14" s="3">
        <f t="shared" si="0"/>
        <v>0.63129867973159237</v>
      </c>
      <c r="Z14" s="3">
        <f t="shared" si="1"/>
        <v>0.20491509026669494</v>
      </c>
      <c r="AA14" s="3">
        <f t="shared" si="2"/>
        <v>1.6594013418223457</v>
      </c>
      <c r="AB14" s="3">
        <f t="shared" si="3"/>
        <v>7.4707190592763295</v>
      </c>
      <c r="AC14" s="3">
        <f t="shared" si="4"/>
        <v>28.272103349425272</v>
      </c>
      <c r="AD14" s="3">
        <f t="shared" si="5"/>
        <v>98.327490838055681</v>
      </c>
      <c r="AE14" s="3"/>
      <c r="AF14" s="3">
        <f t="shared" si="6"/>
        <v>3257.2976690524088</v>
      </c>
      <c r="AG14" s="3">
        <f t="shared" si="7"/>
        <v>52698.547122314696</v>
      </c>
      <c r="AH14" s="3">
        <f t="shared" si="8"/>
        <v>585450.29231360881</v>
      </c>
      <c r="AI14" s="3">
        <f t="shared" si="9"/>
        <v>9471771.6806757245</v>
      </c>
      <c r="AJ14" s="3"/>
    </row>
    <row r="15" spans="1:36" x14ac:dyDescent="0.25">
      <c r="A15" s="1">
        <v>0</v>
      </c>
      <c r="B15" s="1">
        <v>11</v>
      </c>
      <c r="C15" s="3">
        <v>-0.42175299999999999</v>
      </c>
      <c r="D15" s="3">
        <v>5.3121000000000002E-2</v>
      </c>
      <c r="E15" s="6">
        <v>73.901133000000002</v>
      </c>
      <c r="F15" s="3">
        <v>0.67076499999999994</v>
      </c>
      <c r="G15" s="3">
        <v>65.847515000000001</v>
      </c>
      <c r="H15" s="3">
        <v>2.8710800000000001</v>
      </c>
      <c r="I15" s="3">
        <v>0.14586399999999999</v>
      </c>
      <c r="J15" s="3">
        <v>5.3022080000000003</v>
      </c>
      <c r="K15" s="1">
        <v>2166</v>
      </c>
      <c r="L15" s="1">
        <v>1724</v>
      </c>
      <c r="M15" s="3">
        <v>17100.401494999998</v>
      </c>
      <c r="N15" s="3">
        <v>13.664529999999999</v>
      </c>
      <c r="P15">
        <v>17</v>
      </c>
      <c r="Q15" s="4">
        <f>E25</f>
        <v>187.10244299999999</v>
      </c>
      <c r="R15" s="4">
        <f>E26</f>
        <v>127.062116</v>
      </c>
      <c r="S15" s="1">
        <f>K25-L25</f>
        <v>510</v>
      </c>
      <c r="T15" s="4">
        <f>M25/1000</f>
        <v>4.4469775609999997</v>
      </c>
      <c r="U15" s="4">
        <f>J25</f>
        <v>16.188768</v>
      </c>
      <c r="V15" s="4">
        <f>I25</f>
        <v>10.759861000000001</v>
      </c>
      <c r="W15" s="4">
        <f>N25</f>
        <v>2.711325</v>
      </c>
      <c r="Y15" s="3">
        <f t="shared" si="0"/>
        <v>0.67910452671107024</v>
      </c>
      <c r="Z15" s="3">
        <f t="shared" si="1"/>
        <v>0.19959839891710954</v>
      </c>
      <c r="AA15" s="3">
        <f t="shared" si="2"/>
        <v>1.640985054856658</v>
      </c>
      <c r="AB15" s="3">
        <f t="shared" si="3"/>
        <v>7.4988786727950956</v>
      </c>
      <c r="AC15" s="3">
        <f t="shared" si="4"/>
        <v>28.799416528485327</v>
      </c>
      <c r="AD15" s="3">
        <f t="shared" si="5"/>
        <v>101.62568171061685</v>
      </c>
      <c r="AE15" s="3"/>
      <c r="AF15" s="3">
        <f t="shared" si="6"/>
        <v>3512.1115499195726</v>
      </c>
      <c r="AG15" s="3">
        <f t="shared" si="7"/>
        <v>58780.956492917641</v>
      </c>
      <c r="AH15" s="3">
        <f t="shared" si="8"/>
        <v>657124.65107846889</v>
      </c>
      <c r="AI15" s="3">
        <f t="shared" si="9"/>
        <v>10998060.561701603</v>
      </c>
      <c r="AJ15" s="3"/>
    </row>
    <row r="16" spans="1:36" x14ac:dyDescent="0.25">
      <c r="A16" s="1">
        <v>0</v>
      </c>
      <c r="B16" s="1">
        <v>12</v>
      </c>
      <c r="C16" s="3">
        <v>-0.91233699999999995</v>
      </c>
      <c r="D16" s="3">
        <v>0.132711</v>
      </c>
      <c r="E16" s="6">
        <v>132.754212</v>
      </c>
      <c r="F16" s="3">
        <v>0.90982099999999999</v>
      </c>
      <c r="G16" s="3">
        <v>123.711358</v>
      </c>
      <c r="H16" s="3">
        <v>3.9105439999999998</v>
      </c>
      <c r="I16" s="6">
        <v>19.421199000000001</v>
      </c>
      <c r="J16" s="6">
        <v>115.176087</v>
      </c>
      <c r="K16" s="7">
        <v>1339</v>
      </c>
      <c r="L16" s="7">
        <v>685</v>
      </c>
      <c r="M16" s="6">
        <v>14200.726489000001</v>
      </c>
      <c r="N16" s="6">
        <v>4.9772249999999998</v>
      </c>
      <c r="Q16" s="4"/>
      <c r="R16" s="4"/>
      <c r="S16" s="5"/>
      <c r="T16" s="4"/>
      <c r="U16" s="4"/>
      <c r="V16" s="4"/>
      <c r="W16" s="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">
        <v>0</v>
      </c>
      <c r="B17" s="1">
        <v>12</v>
      </c>
      <c r="C17" s="3">
        <v>-0.39019700000000002</v>
      </c>
      <c r="D17" s="3">
        <v>7.3511000000000007E-2</v>
      </c>
      <c r="E17" s="6">
        <v>85.090459999999993</v>
      </c>
      <c r="F17" s="3">
        <v>0.95614900000000003</v>
      </c>
      <c r="G17" s="3">
        <v>70.037111999999993</v>
      </c>
      <c r="H17" s="3">
        <v>3.8331400000000002</v>
      </c>
      <c r="I17" s="3">
        <v>0.58665</v>
      </c>
      <c r="J17" s="3">
        <v>19.421199000000001</v>
      </c>
      <c r="K17" s="1">
        <v>1863</v>
      </c>
      <c r="L17" s="1">
        <v>1339</v>
      </c>
      <c r="M17" s="3">
        <v>19991.331729000001</v>
      </c>
      <c r="N17" s="3">
        <v>11.50567</v>
      </c>
      <c r="P17">
        <v>19</v>
      </c>
      <c r="Q17" s="8">
        <v>297</v>
      </c>
      <c r="R17" s="4">
        <v>63</v>
      </c>
      <c r="S17" s="1">
        <f>K29-L28</f>
        <v>860</v>
      </c>
      <c r="T17" s="4">
        <f>M29/1000</f>
        <v>13.080938866</v>
      </c>
      <c r="U17" s="4">
        <f>J28</f>
        <v>122.81957</v>
      </c>
      <c r="V17" s="4">
        <f>I29</f>
        <v>93.935315000000003</v>
      </c>
      <c r="W17" s="4">
        <f>N29</f>
        <v>3.1459820000000001</v>
      </c>
      <c r="Y17" s="3">
        <f t="shared" si="0"/>
        <v>0.21212121212121213</v>
      </c>
      <c r="Z17" s="3">
        <f t="shared" si="1"/>
        <v>0.32216584178293539</v>
      </c>
      <c r="AA17" s="3">
        <f t="shared" si="2"/>
        <v>2.605458457285724</v>
      </c>
      <c r="AB17" s="3">
        <f t="shared" si="3"/>
        <v>11.799320085071939</v>
      </c>
      <c r="AC17" s="3">
        <f t="shared" si="4"/>
        <v>45.236102749895025</v>
      </c>
      <c r="AD17" s="3">
        <f t="shared" si="5"/>
        <v>160.47691330308126</v>
      </c>
      <c r="AE17" s="3"/>
      <c r="AF17" s="3">
        <f t="shared" si="6"/>
        <v>5861.7624834249118</v>
      </c>
      <c r="AG17" s="3">
        <f t="shared" si="7"/>
        <v>106920</v>
      </c>
      <c r="AH17" s="3">
        <f t="shared" si="8"/>
        <v>1740943.4575772025</v>
      </c>
      <c r="AI17" s="3">
        <f t="shared" si="9"/>
        <v>31755240</v>
      </c>
      <c r="AJ17" s="3"/>
    </row>
    <row r="18" spans="1:36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1"/>
      <c r="L18" s="1"/>
      <c r="M18" s="3"/>
      <c r="N18" s="3"/>
      <c r="P18">
        <v>20</v>
      </c>
      <c r="Q18" s="4">
        <f>E31</f>
        <v>148.71703199999999</v>
      </c>
      <c r="R18" s="4">
        <f>E32</f>
        <v>117.090322</v>
      </c>
      <c r="S18" s="1">
        <f>K31-L31</f>
        <v>941</v>
      </c>
      <c r="T18" s="4">
        <f>M31/1000</f>
        <v>10.81702183</v>
      </c>
      <c r="U18" s="4">
        <f>J31</f>
        <v>29.975573000000001</v>
      </c>
      <c r="V18" s="4">
        <f>I31</f>
        <v>3.160031</v>
      </c>
      <c r="W18" s="4">
        <f>N31</f>
        <v>5.9526529999999998</v>
      </c>
      <c r="Y18" s="3">
        <f t="shared" si="0"/>
        <v>0.78733632876697013</v>
      </c>
      <c r="Z18" s="3">
        <f t="shared" si="1"/>
        <v>0.18320624578021716</v>
      </c>
      <c r="AA18" s="3">
        <f t="shared" si="2"/>
        <v>1.4595953034729812</v>
      </c>
      <c r="AB18" s="3">
        <f t="shared" si="3"/>
        <v>6.4615226555210246</v>
      </c>
      <c r="AC18" s="3">
        <f t="shared" si="4"/>
        <v>24.032517712691799</v>
      </c>
      <c r="AD18" s="3">
        <f t="shared" si="5"/>
        <v>82.103703456692358</v>
      </c>
      <c r="AE18" s="3"/>
      <c r="AF18" s="3">
        <f t="shared" si="6"/>
        <v>2570.1799187980714</v>
      </c>
      <c r="AG18" s="3">
        <f t="shared" si="7"/>
        <v>39530.080770653323</v>
      </c>
      <c r="AH18" s="3">
        <f t="shared" si="8"/>
        <v>382229.52922965051</v>
      </c>
      <c r="AI18" s="3">
        <f t="shared" si="9"/>
        <v>5878796.2869318342</v>
      </c>
      <c r="AJ18" s="3"/>
    </row>
    <row r="19" spans="1:36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1"/>
      <c r="L19" s="1"/>
      <c r="M19" s="3"/>
      <c r="N19" s="3"/>
      <c r="P19">
        <v>21</v>
      </c>
      <c r="Q19" s="8">
        <f>E33</f>
        <v>393.13236599999999</v>
      </c>
      <c r="R19" s="4">
        <f>E34</f>
        <v>78.848259999999996</v>
      </c>
      <c r="S19" s="1">
        <f>K33-L33</f>
        <v>662</v>
      </c>
      <c r="T19" s="4">
        <f>M33/1000</f>
        <v>4.6315314040000004</v>
      </c>
      <c r="U19" s="4">
        <f>J33</f>
        <v>38.873272999999998</v>
      </c>
      <c r="V19" s="4">
        <f>I33</f>
        <v>33.153703</v>
      </c>
      <c r="W19" s="4">
        <f>N33</f>
        <v>1.8301559999999999</v>
      </c>
      <c r="Y19" s="3">
        <f t="shared" si="0"/>
        <v>0.20056415299064945</v>
      </c>
      <c r="Z19" s="3">
        <f t="shared" si="1"/>
        <v>0.33741422473920468</v>
      </c>
      <c r="AA19" s="3">
        <f t="shared" si="2"/>
        <v>2.8717487523326346</v>
      </c>
      <c r="AB19" s="3">
        <f t="shared" si="3"/>
        <v>13.694546697737328</v>
      </c>
      <c r="AC19" s="3">
        <f t="shared" si="4"/>
        <v>55.315213244129566</v>
      </c>
      <c r="AD19" s="3">
        <f t="shared" si="5"/>
        <v>206.85564229401169</v>
      </c>
      <c r="AE19" s="3"/>
      <c r="AF19" s="3">
        <f t="shared" si="6"/>
        <v>8874.6490380082105</v>
      </c>
      <c r="AG19" s="3">
        <f t="shared" si="7"/>
        <v>185550.86020554113</v>
      </c>
      <c r="AH19" s="3">
        <f t="shared" si="8"/>
        <v>3488911.7737317965</v>
      </c>
      <c r="AI19" s="3">
        <f t="shared" si="9"/>
        <v>72946048.685939625</v>
      </c>
      <c r="AJ19" s="3"/>
    </row>
    <row r="20" spans="1:36" x14ac:dyDescent="0.25">
      <c r="A20" s="1">
        <v>0</v>
      </c>
      <c r="B20" s="1">
        <v>15</v>
      </c>
      <c r="C20" s="3">
        <v>-0.46448099999999998</v>
      </c>
      <c r="D20" s="3">
        <v>0.48137200000000002</v>
      </c>
      <c r="E20" s="6">
        <v>178.531893</v>
      </c>
      <c r="F20" s="3">
        <v>1.1620969999999999</v>
      </c>
      <c r="G20" s="3">
        <v>167.557344</v>
      </c>
      <c r="H20" s="3">
        <v>5.0075120000000002</v>
      </c>
      <c r="I20" s="6">
        <v>53.669414000000003</v>
      </c>
      <c r="J20" s="6">
        <v>77.547448000000003</v>
      </c>
      <c r="K20" s="7">
        <v>1055</v>
      </c>
      <c r="L20" s="7">
        <v>476</v>
      </c>
      <c r="M20" s="6">
        <v>10545.999159999999</v>
      </c>
      <c r="N20" s="6">
        <v>3.1546439999999998</v>
      </c>
      <c r="P20">
        <v>22</v>
      </c>
      <c r="Q20" s="9">
        <f>E36</f>
        <v>314.63161200000002</v>
      </c>
      <c r="R20" s="3">
        <f>E37</f>
        <v>126.44382400000001</v>
      </c>
      <c r="S20" s="1">
        <f>K36-L36</f>
        <v>598</v>
      </c>
      <c r="T20" s="4">
        <f>M36/1000</f>
        <v>4.6438001880000002</v>
      </c>
      <c r="U20" s="3">
        <f>J36</f>
        <v>37.528556999999999</v>
      </c>
      <c r="V20" s="3">
        <f>I36</f>
        <v>28.845925999999999</v>
      </c>
      <c r="W20" s="3">
        <f>N36</f>
        <v>1.906304</v>
      </c>
      <c r="Y20" s="3">
        <f t="shared" si="0"/>
        <v>0.40187895677818919</v>
      </c>
      <c r="Z20" s="3">
        <f t="shared" si="1"/>
        <v>0.2589122913079997</v>
      </c>
      <c r="AA20" s="3">
        <f t="shared" si="2"/>
        <v>2.2461880719863343</v>
      </c>
      <c r="AB20" s="3">
        <f t="shared" si="3"/>
        <v>10.855886039402137</v>
      </c>
      <c r="AC20" s="3">
        <f t="shared" si="4"/>
        <v>44.193056298403867</v>
      </c>
      <c r="AD20" s="3">
        <f t="shared" si="5"/>
        <v>165.66770497306106</v>
      </c>
      <c r="AE20" s="3"/>
      <c r="AF20" s="3">
        <f t="shared" si="6"/>
        <v>6953.5506491135311</v>
      </c>
      <c r="AG20" s="3">
        <f t="shared" si="7"/>
        <v>138776.27544228287</v>
      </c>
      <c r="AH20" s="3">
        <f t="shared" si="8"/>
        <v>2187806.8498542407</v>
      </c>
      <c r="AI20" s="3">
        <f t="shared" si="9"/>
        <v>43663403.24976147</v>
      </c>
      <c r="AJ20" s="3"/>
    </row>
    <row r="21" spans="1:36" x14ac:dyDescent="0.25">
      <c r="A21" s="1">
        <v>0</v>
      </c>
      <c r="B21" s="1">
        <v>15</v>
      </c>
      <c r="C21" s="3">
        <v>-0.49384899999999998</v>
      </c>
      <c r="D21" s="3">
        <v>8.8467000000000004E-2</v>
      </c>
      <c r="E21" s="6">
        <v>102.94216900000001</v>
      </c>
      <c r="F21" s="3">
        <v>0.56467100000000003</v>
      </c>
      <c r="G21" s="3">
        <v>101.466961</v>
      </c>
      <c r="H21" s="3">
        <v>2.2501799999999998</v>
      </c>
      <c r="I21" s="3">
        <v>9.1329989999999999</v>
      </c>
      <c r="J21" s="3">
        <v>53.669414000000003</v>
      </c>
      <c r="K21" s="1">
        <v>1466</v>
      </c>
      <c r="L21" s="1">
        <v>1055</v>
      </c>
      <c r="M21" s="3">
        <v>19013.67928</v>
      </c>
      <c r="N21" s="3">
        <v>6.9742110000000004</v>
      </c>
      <c r="P21">
        <v>23</v>
      </c>
      <c r="Q21" s="3">
        <f>E38</f>
        <v>144.52812900000001</v>
      </c>
      <c r="R21" s="3">
        <f>E39</f>
        <v>96.578396999999995</v>
      </c>
      <c r="S21" s="1">
        <f>K38-L38</f>
        <v>576</v>
      </c>
      <c r="T21" s="4">
        <f>M38/1000</f>
        <v>5.8907785610000003</v>
      </c>
      <c r="U21" s="3">
        <f>J38</f>
        <v>15.717105999999999</v>
      </c>
      <c r="V21" s="3">
        <f>I38</f>
        <v>5.3565069999999997</v>
      </c>
      <c r="W21" s="3">
        <f>N38</f>
        <v>3.9051490000000002</v>
      </c>
      <c r="Y21" s="3">
        <f t="shared" si="0"/>
        <v>0.6682325279392497</v>
      </c>
      <c r="Z21" s="3">
        <f t="shared" si="1"/>
        <v>0.19582609543713614</v>
      </c>
      <c r="AA21" s="3">
        <f t="shared" si="2"/>
        <v>1.5265473332228683</v>
      </c>
      <c r="AB21" s="3">
        <f t="shared" si="3"/>
        <v>6.6147364521177687</v>
      </c>
      <c r="AC21" s="3">
        <f t="shared" si="4"/>
        <v>24.089559714800046</v>
      </c>
      <c r="AD21" s="3">
        <f t="shared" si="5"/>
        <v>80.611298536869413</v>
      </c>
      <c r="AE21" s="3"/>
      <c r="AF21" s="3">
        <f t="shared" si="6"/>
        <v>2376.3556760599313</v>
      </c>
      <c r="AG21" s="3">
        <f t="shared" si="7"/>
        <v>34846.67509246985</v>
      </c>
      <c r="AH21" s="3">
        <f t="shared" si="8"/>
        <v>343450.23969947192</v>
      </c>
      <c r="AI21" s="3">
        <f t="shared" si="9"/>
        <v>5036324.7529855706</v>
      </c>
      <c r="AJ21" s="3"/>
    </row>
    <row r="22" spans="1:36" x14ac:dyDescent="0.25">
      <c r="A22" s="1">
        <v>0</v>
      </c>
      <c r="B22" s="1">
        <v>15</v>
      </c>
      <c r="C22" s="3">
        <v>-0.37099199999999999</v>
      </c>
      <c r="D22" s="3">
        <v>6.2480000000000001E-2</v>
      </c>
      <c r="E22" s="3">
        <v>74.363919999999993</v>
      </c>
      <c r="F22" s="3">
        <v>0.48547299999999999</v>
      </c>
      <c r="G22" s="3">
        <v>73.458701000000005</v>
      </c>
      <c r="H22" s="3">
        <v>0.99845099999999998</v>
      </c>
      <c r="I22" s="3">
        <v>0.38968000000000003</v>
      </c>
      <c r="J22" s="3">
        <v>9.1329989999999999</v>
      </c>
      <c r="K22" s="1">
        <v>1799</v>
      </c>
      <c r="L22" s="1">
        <v>1466</v>
      </c>
      <c r="M22" s="3">
        <v>22906.995310999999</v>
      </c>
      <c r="N22" s="3">
        <v>11.712540000000001</v>
      </c>
      <c r="P22">
        <v>24</v>
      </c>
      <c r="Q22" s="3">
        <f>E40</f>
        <v>133.25202999999999</v>
      </c>
      <c r="R22" s="3">
        <f>E41</f>
        <v>107.03658799999999</v>
      </c>
      <c r="S22" s="1">
        <f>K40-L40</f>
        <v>324</v>
      </c>
      <c r="T22" s="4">
        <f>M40/1000</f>
        <v>5.09957248</v>
      </c>
      <c r="U22" s="3">
        <f>J40</f>
        <v>28.26247</v>
      </c>
      <c r="V22" s="3">
        <f>I40</f>
        <v>20.193106</v>
      </c>
      <c r="W22" s="3">
        <f>N40</f>
        <v>2.374952</v>
      </c>
      <c r="Y22" s="3">
        <f t="shared" si="0"/>
        <v>0.80326422044001888</v>
      </c>
      <c r="Z22" s="3">
        <f t="shared" si="1"/>
        <v>0.17964770524162665</v>
      </c>
      <c r="AA22" s="3">
        <f t="shared" si="2"/>
        <v>1.4029203376912878</v>
      </c>
      <c r="AB22" s="3">
        <f t="shared" si="3"/>
        <v>6.0875326422986333</v>
      </c>
      <c r="AC22" s="3">
        <f t="shared" si="4"/>
        <v>22.192095580144123</v>
      </c>
      <c r="AD22" s="3">
        <f t="shared" si="5"/>
        <v>74.308954764114972</v>
      </c>
      <c r="AE22" s="3"/>
      <c r="AF22" s="3">
        <f t="shared" si="6"/>
        <v>2189.7814408630979</v>
      </c>
      <c r="AG22" s="3">
        <f t="shared" si="7"/>
        <v>32018.94613439454</v>
      </c>
      <c r="AH22" s="3">
        <f t="shared" si="8"/>
        <v>291792.82225133263</v>
      </c>
      <c r="AI22" s="3">
        <f t="shared" si="9"/>
        <v>4266589.570868725</v>
      </c>
      <c r="AJ22" s="3"/>
    </row>
    <row r="23" spans="1:36" x14ac:dyDescent="0.25">
      <c r="A23" s="1">
        <v>0</v>
      </c>
      <c r="B23" s="1">
        <v>16</v>
      </c>
      <c r="C23" s="3">
        <v>-0.24456</v>
      </c>
      <c r="D23" s="3">
        <v>0.15523600000000001</v>
      </c>
      <c r="E23" s="6">
        <v>179.73496800000001</v>
      </c>
      <c r="F23" s="3">
        <v>0.98733099999999996</v>
      </c>
      <c r="G23" s="3">
        <v>168.456343</v>
      </c>
      <c r="H23" s="3">
        <v>3.973465</v>
      </c>
      <c r="I23" s="6">
        <v>16.273944</v>
      </c>
      <c r="J23" s="6">
        <v>60.065069000000001</v>
      </c>
      <c r="K23" s="7">
        <v>1447</v>
      </c>
      <c r="L23" s="7">
        <v>430</v>
      </c>
      <c r="M23" s="6">
        <v>14222.131601999999</v>
      </c>
      <c r="N23" s="6">
        <v>5.4581480000000004</v>
      </c>
      <c r="S23" s="4">
        <f t="shared" ref="S23" si="10">AVERAGE(S2:S22)</f>
        <v>633.06666666666672</v>
      </c>
      <c r="T23" s="4"/>
      <c r="U23" s="4"/>
      <c r="V23" s="4"/>
      <c r="W23" s="4">
        <f>AVERAGE(W2:W22)</f>
        <v>3.7536080666666667</v>
      </c>
      <c r="Z23" s="10">
        <f>CORREL(S2:S22,Z2:Z22)</f>
        <v>-8.1058713101480301E-2</v>
      </c>
      <c r="AA23" s="10">
        <f>CORREL(S2:S22,AA2:AA22)</f>
        <v>-3.955887438079414E-2</v>
      </c>
      <c r="AB23" s="10">
        <f>CORREL(S2:S22,AB2:AB22)</f>
        <v>-7.9135844094486169E-3</v>
      </c>
      <c r="AC23" s="10">
        <f>CORREL(S2:S22,AC2:AC22)</f>
        <v>1.4388833459619856E-2</v>
      </c>
      <c r="AD23" s="10">
        <f>CORREL(S2:S22,AD2:AD22)</f>
        <v>2.9657136411237225E-2</v>
      </c>
      <c r="AE23" s="3"/>
      <c r="AF23" s="10">
        <f>CORREL(S2:S22,AF2:AF22)</f>
        <v>5.1491331472676642E-2</v>
      </c>
      <c r="AG23" s="10">
        <f>CORREL(S2:S22,AG2:AG22)</f>
        <v>5.6669105083309461E-2</v>
      </c>
      <c r="AH23" s="10">
        <f>CORREL(S2:S22,AH2:AH22)</f>
        <v>4.9064429875583938E-2</v>
      </c>
      <c r="AI23" s="10">
        <f>CORREL(S2:S22,AI2:AI22)</f>
        <v>5.1287606841058292E-2</v>
      </c>
    </row>
    <row r="24" spans="1:36" x14ac:dyDescent="0.25">
      <c r="A24" s="1">
        <v>0</v>
      </c>
      <c r="B24" s="1">
        <v>16</v>
      </c>
      <c r="C24" s="3">
        <v>-0.29419800000000002</v>
      </c>
      <c r="D24" s="3">
        <v>7.3439000000000004E-2</v>
      </c>
      <c r="E24" s="6">
        <v>113.466448</v>
      </c>
      <c r="F24" s="3">
        <v>0.59498799999999996</v>
      </c>
      <c r="G24" s="3">
        <v>108.543746</v>
      </c>
      <c r="H24" s="3">
        <v>2.007552</v>
      </c>
      <c r="I24" s="3">
        <v>1.041277</v>
      </c>
      <c r="J24" s="3">
        <v>16.273944</v>
      </c>
      <c r="K24" s="1">
        <v>2060</v>
      </c>
      <c r="L24" s="1">
        <v>1447</v>
      </c>
      <c r="M24" s="3">
        <v>20148.868143</v>
      </c>
      <c r="N24" s="3">
        <v>10.943675000000001</v>
      </c>
      <c r="S24" s="3">
        <f>STDEVA(S2:S22)</f>
        <v>238.52806563429411</v>
      </c>
      <c r="T24" s="3"/>
      <c r="U24" s="3"/>
      <c r="V24" s="3"/>
      <c r="W24" s="3">
        <f t="shared" ref="W24" si="11">STDEVA(W2:W22)</f>
        <v>1.9950408719910426</v>
      </c>
    </row>
    <row r="25" spans="1:36" x14ac:dyDescent="0.25">
      <c r="A25" s="1">
        <v>0</v>
      </c>
      <c r="B25" s="1">
        <v>17</v>
      </c>
      <c r="C25" s="3">
        <v>-2.1109680000000002</v>
      </c>
      <c r="D25" s="3">
        <v>0.44105699999999998</v>
      </c>
      <c r="E25" s="3">
        <v>187.10244299999999</v>
      </c>
      <c r="F25" s="3">
        <v>1.7286710000000001</v>
      </c>
      <c r="G25" s="3">
        <v>188.94818100000001</v>
      </c>
      <c r="H25" s="3">
        <v>8.0341799999999992</v>
      </c>
      <c r="I25" s="6">
        <v>10.759861000000001</v>
      </c>
      <c r="J25" s="6">
        <v>16.188768</v>
      </c>
      <c r="K25" s="7">
        <v>968</v>
      </c>
      <c r="L25" s="7">
        <v>458</v>
      </c>
      <c r="M25" s="6">
        <v>4446.9775609999997</v>
      </c>
      <c r="N25" s="6">
        <v>2.711325</v>
      </c>
    </row>
    <row r="26" spans="1:36" x14ac:dyDescent="0.25">
      <c r="A26" s="1">
        <v>0</v>
      </c>
      <c r="B26" s="1">
        <v>17</v>
      </c>
      <c r="C26" s="3">
        <v>-0.59193399999999996</v>
      </c>
      <c r="D26" s="3">
        <v>0.34674899999999997</v>
      </c>
      <c r="E26" s="3">
        <v>127.062116</v>
      </c>
      <c r="F26" s="3">
        <v>1.6199030000000001</v>
      </c>
      <c r="G26" s="3">
        <v>127.053225</v>
      </c>
      <c r="H26" s="3">
        <v>2.8647420000000001</v>
      </c>
      <c r="I26" s="3">
        <v>3.5954929999999998</v>
      </c>
      <c r="J26" s="3">
        <v>10.759861000000001</v>
      </c>
      <c r="K26" s="1">
        <v>1396</v>
      </c>
      <c r="L26" s="1">
        <v>968</v>
      </c>
      <c r="M26" s="3">
        <v>8594.6750909999992</v>
      </c>
      <c r="N26" s="3">
        <v>6.1522829999999997</v>
      </c>
    </row>
    <row r="27" spans="1:36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1"/>
      <c r="L27" s="1"/>
      <c r="M27" s="3"/>
      <c r="N27" s="3"/>
    </row>
    <row r="28" spans="1:36" x14ac:dyDescent="0.25">
      <c r="A28" s="1">
        <v>0</v>
      </c>
      <c r="B28" s="1">
        <v>19</v>
      </c>
      <c r="C28" s="3">
        <v>-36</v>
      </c>
      <c r="D28" s="3">
        <v>6.2662979999999999</v>
      </c>
      <c r="E28" s="3">
        <v>311.191959</v>
      </c>
      <c r="F28" s="3">
        <v>10.889486</v>
      </c>
      <c r="G28" s="3">
        <v>89.632068000000004</v>
      </c>
      <c r="H28" s="3">
        <v>47.460194999999999</v>
      </c>
      <c r="I28" s="3">
        <v>117.228829</v>
      </c>
      <c r="J28" s="6">
        <v>122.81957</v>
      </c>
      <c r="K28" s="1">
        <v>746</v>
      </c>
      <c r="L28" s="7">
        <v>376</v>
      </c>
      <c r="M28" s="3">
        <v>4805.9047659999997</v>
      </c>
      <c r="N28" s="3">
        <v>1.110873</v>
      </c>
    </row>
    <row r="29" spans="1:36" x14ac:dyDescent="0.25">
      <c r="A29" s="1">
        <v>0</v>
      </c>
      <c r="B29" s="1">
        <v>19</v>
      </c>
      <c r="C29" s="3">
        <v>2.7264059999999999</v>
      </c>
      <c r="D29" s="3">
        <v>1.931154</v>
      </c>
      <c r="E29" s="6">
        <v>248.431026</v>
      </c>
      <c r="F29" s="3">
        <v>3.519914</v>
      </c>
      <c r="G29" s="3">
        <v>225.931983</v>
      </c>
      <c r="H29" s="3">
        <v>9.1834699999999998</v>
      </c>
      <c r="I29" s="6">
        <v>93.935315000000003</v>
      </c>
      <c r="J29" s="3">
        <v>117.228829</v>
      </c>
      <c r="K29" s="7">
        <v>1236</v>
      </c>
      <c r="L29" s="1">
        <v>746</v>
      </c>
      <c r="M29" s="6">
        <v>13080.938866</v>
      </c>
      <c r="N29" s="6">
        <v>3.1459820000000001</v>
      </c>
    </row>
    <row r="30" spans="1:36" x14ac:dyDescent="0.25">
      <c r="A30" s="1">
        <v>0</v>
      </c>
      <c r="B30" s="1">
        <v>19</v>
      </c>
      <c r="C30" s="3">
        <v>-0.39589400000000002</v>
      </c>
      <c r="D30" s="3">
        <v>1.4305999999999999E-2</v>
      </c>
      <c r="E30" s="6">
        <v>62.297457999999999</v>
      </c>
      <c r="F30" s="3">
        <v>0.165548</v>
      </c>
      <c r="G30" s="3">
        <v>59.777073000000001</v>
      </c>
      <c r="H30" s="3">
        <v>0.75258000000000003</v>
      </c>
      <c r="I30" s="3">
        <v>0.25765700000000002</v>
      </c>
      <c r="J30" s="3">
        <v>93.935315000000003</v>
      </c>
      <c r="K30" s="1">
        <v>1951</v>
      </c>
      <c r="L30" s="1">
        <v>1236</v>
      </c>
      <c r="M30" s="3">
        <v>28140.415009</v>
      </c>
      <c r="N30" s="3">
        <v>14.869865000000001</v>
      </c>
    </row>
    <row r="31" spans="1:36" x14ac:dyDescent="0.25">
      <c r="A31" s="1">
        <v>0</v>
      </c>
      <c r="B31" s="1">
        <v>20</v>
      </c>
      <c r="C31" s="3">
        <v>-0.47831800000000002</v>
      </c>
      <c r="D31" s="3">
        <v>0.12800400000000001</v>
      </c>
      <c r="E31" s="3">
        <v>148.71703199999999</v>
      </c>
      <c r="F31" s="3">
        <v>1.186763</v>
      </c>
      <c r="G31" s="3">
        <v>142.95269099999999</v>
      </c>
      <c r="H31" s="3">
        <v>5.0730420000000001</v>
      </c>
      <c r="I31" s="6">
        <v>3.160031</v>
      </c>
      <c r="J31" s="6">
        <v>29.975573000000001</v>
      </c>
      <c r="K31" s="7">
        <v>1367</v>
      </c>
      <c r="L31" s="7">
        <v>426</v>
      </c>
      <c r="M31" s="6">
        <v>10817.02183</v>
      </c>
      <c r="N31" s="6">
        <v>5.9526529999999998</v>
      </c>
    </row>
    <row r="32" spans="1:36" x14ac:dyDescent="0.25">
      <c r="A32" s="1">
        <v>0</v>
      </c>
      <c r="B32" s="1">
        <v>20</v>
      </c>
      <c r="C32" s="3">
        <v>-1.093675</v>
      </c>
      <c r="D32" s="3">
        <v>0.32153700000000002</v>
      </c>
      <c r="E32" s="3">
        <v>117.090322</v>
      </c>
      <c r="F32" s="3">
        <v>2.5363950000000002</v>
      </c>
      <c r="G32" s="3">
        <v>120.605715</v>
      </c>
      <c r="H32" s="3">
        <v>5.6725649999999996</v>
      </c>
      <c r="I32" s="3">
        <v>1.0199830000000001</v>
      </c>
      <c r="J32" s="3">
        <v>3.160031</v>
      </c>
      <c r="K32" s="1">
        <v>1708</v>
      </c>
      <c r="L32" s="1">
        <v>1367</v>
      </c>
      <c r="M32" s="3">
        <v>13149.722371</v>
      </c>
      <c r="N32" s="3">
        <v>9.2360880000000005</v>
      </c>
    </row>
    <row r="33" spans="1:14" x14ac:dyDescent="0.25">
      <c r="A33" s="1">
        <v>0</v>
      </c>
      <c r="B33" s="1">
        <v>21</v>
      </c>
      <c r="C33" s="3">
        <v>3.2299159999999998</v>
      </c>
      <c r="D33" s="3">
        <v>1.867928</v>
      </c>
      <c r="E33" s="6">
        <v>393.13236599999999</v>
      </c>
      <c r="F33" s="3">
        <v>4.6964649999999999</v>
      </c>
      <c r="G33" s="3">
        <v>335.18426699999998</v>
      </c>
      <c r="H33" s="3">
        <v>18.778893</v>
      </c>
      <c r="I33" s="6">
        <v>33.153703</v>
      </c>
      <c r="J33" s="6">
        <v>38.873272999999998</v>
      </c>
      <c r="K33" s="7">
        <v>1082</v>
      </c>
      <c r="L33" s="7">
        <v>420</v>
      </c>
      <c r="M33" s="6">
        <v>4631.5314040000003</v>
      </c>
      <c r="N33" s="6">
        <v>1.8301559999999999</v>
      </c>
    </row>
    <row r="34" spans="1:14" x14ac:dyDescent="0.25">
      <c r="A34" s="1">
        <v>0</v>
      </c>
      <c r="B34" s="1">
        <v>21</v>
      </c>
      <c r="C34" s="3">
        <v>-1.5131680000000001</v>
      </c>
      <c r="D34" s="3">
        <v>0.14490800000000001</v>
      </c>
      <c r="E34" s="6">
        <v>78.848259999999996</v>
      </c>
      <c r="F34" s="3">
        <v>3.364522</v>
      </c>
      <c r="G34" s="3">
        <v>20.498360000000002</v>
      </c>
      <c r="H34" s="3">
        <v>8.1890470000000004</v>
      </c>
      <c r="I34" s="3">
        <v>3.937262</v>
      </c>
      <c r="J34" s="3">
        <v>33.153703</v>
      </c>
      <c r="K34" s="1">
        <v>1400</v>
      </c>
      <c r="L34" s="1">
        <v>1082</v>
      </c>
      <c r="M34" s="3">
        <v>12089.581924</v>
      </c>
      <c r="N34" s="3">
        <v>5.8073389999999998</v>
      </c>
    </row>
    <row r="35" spans="1:14" x14ac:dyDescent="0.25">
      <c r="A35" s="1">
        <v>0</v>
      </c>
      <c r="B35" s="1">
        <v>21</v>
      </c>
      <c r="C35" s="3">
        <v>-0.35049599999999997</v>
      </c>
      <c r="D35" s="3">
        <v>5.858E-2</v>
      </c>
      <c r="E35" s="3">
        <v>91.651951999999994</v>
      </c>
      <c r="F35" s="3">
        <v>0.73099499999999995</v>
      </c>
      <c r="G35" s="3">
        <v>87.566659000000001</v>
      </c>
      <c r="H35" s="3">
        <v>2.165124</v>
      </c>
      <c r="I35" s="3">
        <v>0.13415199999999999</v>
      </c>
      <c r="J35" s="3">
        <v>3.937262</v>
      </c>
      <c r="K35" s="1">
        <v>1891</v>
      </c>
      <c r="L35" s="1">
        <v>1400</v>
      </c>
      <c r="M35" s="3">
        <v>15151.361508</v>
      </c>
      <c r="N35" s="3">
        <v>11.253446</v>
      </c>
    </row>
    <row r="36" spans="1:14" x14ac:dyDescent="0.25">
      <c r="A36" s="1">
        <v>0</v>
      </c>
      <c r="B36" s="1">
        <v>22</v>
      </c>
      <c r="C36" s="3">
        <v>2.7966489999999999</v>
      </c>
      <c r="D36" s="3">
        <v>1.8870960000000001</v>
      </c>
      <c r="E36" s="6">
        <v>314.63161200000002</v>
      </c>
      <c r="F36" s="3">
        <v>6.0453929999999998</v>
      </c>
      <c r="G36" s="3">
        <v>273.79521999999997</v>
      </c>
      <c r="H36" s="3">
        <v>16.158100999999998</v>
      </c>
      <c r="I36" s="6">
        <v>28.845925999999999</v>
      </c>
      <c r="J36" s="6">
        <v>37.528556999999999</v>
      </c>
      <c r="K36" s="7">
        <v>1030</v>
      </c>
      <c r="L36" s="7">
        <v>432</v>
      </c>
      <c r="M36" s="6">
        <v>4643.8001880000002</v>
      </c>
      <c r="N36" s="6">
        <v>1.906304</v>
      </c>
    </row>
    <row r="37" spans="1:14" x14ac:dyDescent="0.25">
      <c r="A37" s="1">
        <v>0</v>
      </c>
      <c r="B37" s="1">
        <v>22</v>
      </c>
      <c r="C37" s="3">
        <v>-0.27670400000000001</v>
      </c>
      <c r="D37" s="3">
        <v>0.147033</v>
      </c>
      <c r="E37" s="6">
        <v>126.44382400000001</v>
      </c>
      <c r="F37" s="3">
        <v>1.655864</v>
      </c>
      <c r="G37" s="3">
        <v>115.47184300000001</v>
      </c>
      <c r="H37" s="3">
        <v>4.8862569999999996</v>
      </c>
      <c r="I37" s="3">
        <v>1.980343</v>
      </c>
      <c r="J37" s="3">
        <v>28.845925999999999</v>
      </c>
      <c r="K37" s="1">
        <v>1792</v>
      </c>
      <c r="L37" s="1">
        <v>1030</v>
      </c>
      <c r="M37" s="3">
        <v>13871.949167999999</v>
      </c>
      <c r="N37" s="3">
        <v>8.5553019999999993</v>
      </c>
    </row>
    <row r="38" spans="1:14" x14ac:dyDescent="0.25">
      <c r="A38" s="1">
        <v>0</v>
      </c>
      <c r="B38" s="1">
        <v>23</v>
      </c>
      <c r="C38" s="3">
        <v>-0.14773</v>
      </c>
      <c r="D38" s="3">
        <v>0.28140900000000002</v>
      </c>
      <c r="E38" s="6">
        <v>144.52812900000001</v>
      </c>
      <c r="F38" s="3">
        <v>1.0588649999999999</v>
      </c>
      <c r="G38" s="3">
        <v>141.70385899999999</v>
      </c>
      <c r="H38" s="3">
        <v>2.6243590000000001</v>
      </c>
      <c r="I38" s="6">
        <v>5.3565069999999997</v>
      </c>
      <c r="J38" s="6">
        <v>15.717105999999999</v>
      </c>
      <c r="K38" s="7">
        <v>1056</v>
      </c>
      <c r="L38" s="7">
        <v>480</v>
      </c>
      <c r="M38" s="6">
        <v>5890.7785610000001</v>
      </c>
      <c r="N38" s="6">
        <v>3.9051490000000002</v>
      </c>
    </row>
    <row r="39" spans="1:14" x14ac:dyDescent="0.25">
      <c r="A39" s="1">
        <v>0</v>
      </c>
      <c r="B39" s="1">
        <v>23</v>
      </c>
      <c r="C39" s="3">
        <v>-0.47297299999999998</v>
      </c>
      <c r="D39" s="3">
        <v>0.15414900000000001</v>
      </c>
      <c r="E39" s="6">
        <v>96.578396999999995</v>
      </c>
      <c r="F39" s="3">
        <v>0.59396899999999997</v>
      </c>
      <c r="G39" s="3">
        <v>96.638953999999998</v>
      </c>
      <c r="H39" s="3">
        <v>1.5087740000000001</v>
      </c>
      <c r="I39" s="3">
        <v>1.5895980000000001</v>
      </c>
      <c r="J39" s="3">
        <v>5.3565069999999997</v>
      </c>
      <c r="K39" s="1">
        <v>1481</v>
      </c>
      <c r="L39" s="1">
        <v>1056</v>
      </c>
      <c r="M39" s="3">
        <v>9425.1673859999992</v>
      </c>
      <c r="N39" s="3">
        <v>8.2590269999999997</v>
      </c>
    </row>
    <row r="40" spans="1:14" x14ac:dyDescent="0.25">
      <c r="A40" s="1">
        <v>0</v>
      </c>
      <c r="B40" s="1">
        <v>24</v>
      </c>
      <c r="C40" s="3">
        <v>-0.83138000000000001</v>
      </c>
      <c r="D40" s="3">
        <v>0.48441200000000001</v>
      </c>
      <c r="E40" s="3">
        <v>133.25202999999999</v>
      </c>
      <c r="F40" s="3">
        <v>0.54086100000000004</v>
      </c>
      <c r="G40" s="3">
        <v>133.23137500000001</v>
      </c>
      <c r="H40" s="3">
        <v>1.1235809999999999</v>
      </c>
      <c r="I40" s="6">
        <v>20.193106</v>
      </c>
      <c r="J40" s="6">
        <v>28.26247</v>
      </c>
      <c r="K40" s="7">
        <v>1077</v>
      </c>
      <c r="L40" s="7">
        <v>753</v>
      </c>
      <c r="M40" s="6">
        <v>5099.5724799999998</v>
      </c>
      <c r="N40" s="6">
        <v>2.374952</v>
      </c>
    </row>
    <row r="41" spans="1:14" x14ac:dyDescent="0.25">
      <c r="A41" s="1">
        <v>0</v>
      </c>
      <c r="B41" s="1">
        <v>24</v>
      </c>
      <c r="C41" s="3">
        <v>-0.338198</v>
      </c>
      <c r="D41" s="3">
        <v>3.4556999999999997E-2</v>
      </c>
      <c r="E41" s="3">
        <v>107.03658799999999</v>
      </c>
      <c r="F41" s="3">
        <v>0.67281500000000005</v>
      </c>
      <c r="G41" s="3">
        <v>89.230502999999999</v>
      </c>
      <c r="H41" s="3">
        <v>3.324646</v>
      </c>
      <c r="I41" s="3">
        <v>0.23849300000000001</v>
      </c>
      <c r="J41" s="3">
        <v>20.193106</v>
      </c>
      <c r="K41" s="1">
        <v>1848</v>
      </c>
      <c r="L41" s="1">
        <v>1077</v>
      </c>
      <c r="M41" s="3">
        <v>12239.221938999999</v>
      </c>
      <c r="N41" s="3">
        <v>10.067788999999999</v>
      </c>
    </row>
    <row r="42" spans="1:14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1"/>
      <c r="L42" s="1"/>
      <c r="M42" s="3"/>
      <c r="N42" s="3"/>
    </row>
    <row r="43" spans="1:14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1"/>
      <c r="L43" s="1"/>
      <c r="M43" s="3"/>
      <c r="N43" s="3"/>
    </row>
    <row r="44" spans="1:14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1"/>
      <c r="L44" s="1"/>
      <c r="M44" s="3"/>
      <c r="N44" s="3"/>
    </row>
    <row r="45" spans="1:14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1"/>
      <c r="L45" s="1"/>
      <c r="M45" s="3"/>
      <c r="N45" s="3"/>
    </row>
    <row r="46" spans="1:14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1"/>
      <c r="L46" s="1"/>
      <c r="M46" s="3"/>
      <c r="N46" s="3"/>
    </row>
    <row r="47" spans="1:14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1"/>
      <c r="L47" s="1"/>
      <c r="M47" s="3"/>
      <c r="N47" s="3"/>
    </row>
    <row r="48" spans="1:14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1"/>
      <c r="L48" s="1"/>
      <c r="M48" s="3"/>
      <c r="N48" s="3"/>
    </row>
    <row r="49" spans="1:14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1"/>
      <c r="L49" s="1"/>
      <c r="M49" s="3"/>
      <c r="N49" s="3"/>
    </row>
    <row r="50" spans="1:14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1"/>
      <c r="L50" s="1"/>
      <c r="M50" s="3"/>
      <c r="N50" s="3"/>
    </row>
    <row r="51" spans="1:14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1"/>
      <c r="L51" s="1"/>
      <c r="M51" s="3"/>
      <c r="N51" s="3"/>
    </row>
    <row r="52" spans="1:14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1"/>
      <c r="L52" s="1"/>
      <c r="M52" s="3"/>
      <c r="N52" s="3"/>
    </row>
    <row r="53" spans="1:14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1"/>
      <c r="L53" s="1"/>
      <c r="M53" s="3"/>
      <c r="N53" s="3"/>
    </row>
    <row r="54" spans="1:14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1"/>
      <c r="L54" s="1"/>
      <c r="M54" s="3"/>
      <c r="N54" s="3"/>
    </row>
    <row r="55" spans="1:14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1"/>
      <c r="L55" s="1"/>
      <c r="M55" s="3"/>
      <c r="N55" s="3"/>
    </row>
    <row r="56" spans="1:14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1"/>
      <c r="L56" s="1"/>
      <c r="M56" s="3"/>
      <c r="N56" s="3"/>
    </row>
    <row r="57" spans="1:14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1"/>
      <c r="L57" s="1"/>
      <c r="M57" s="3"/>
      <c r="N57" s="3"/>
    </row>
    <row r="58" spans="1:14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1"/>
      <c r="L58" s="1"/>
      <c r="M58" s="3"/>
      <c r="N58" s="3"/>
    </row>
    <row r="59" spans="1:14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1"/>
      <c r="L59" s="1"/>
      <c r="M59" s="3"/>
      <c r="N59" s="3"/>
    </row>
    <row r="60" spans="1:14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1"/>
      <c r="L60" s="1"/>
      <c r="M60" s="3"/>
      <c r="N60" s="3"/>
    </row>
    <row r="61" spans="1:14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1"/>
      <c r="L61" s="1"/>
      <c r="M61" s="3"/>
      <c r="N61" s="3"/>
    </row>
    <row r="62" spans="1:14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1"/>
      <c r="L62" s="1"/>
      <c r="M62" s="3"/>
      <c r="N62" s="3"/>
    </row>
    <row r="63" spans="1:14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1"/>
      <c r="L63" s="1"/>
      <c r="M63" s="3"/>
      <c r="N63" s="3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ksn分界点_初始版本</vt:lpstr>
      <vt:lpstr>Sheet1</vt:lpstr>
      <vt:lpstr>Sheet2</vt:lpstr>
      <vt:lpstr>Sheet3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WangYZ</dc:creator>
  <cp:lastModifiedBy>WangYZ</cp:lastModifiedBy>
  <dcterms:created xsi:type="dcterms:W3CDTF">2019-09-29T14:35:21Z</dcterms:created>
  <dcterms:modified xsi:type="dcterms:W3CDTF">2019-10-20T14:34:19Z</dcterms:modified>
</cp:coreProperties>
</file>